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080" yWindow="1380" windowWidth="17200" windowHeight="18400" tabRatio="650" activeTab="1"/>
  </bookViews>
  <sheets>
    <sheet name="0. Instructions" sheetId="1" r:id="rId1"/>
    <sheet name="Main" sheetId="2" r:id="rId2"/>
    <sheet name="Scratch" sheetId="3" state="hidden" r:id="rId3"/>
  </sheets>
  <externalReferences>
    <externalReference r:id="rId6"/>
  </externalReferences>
  <definedNames>
    <definedName name="acid">'[1]Sheet2'!$I$6:$I$8</definedName>
    <definedName name="Acid_List">'Scratch'!$A$45:$A$50</definedName>
    <definedName name="beer_styles">'Scratch'!$A$62:$A$133</definedName>
    <definedName name="CaCO3">'Scratch'!$A$2:$A$3</definedName>
    <definedName name="Carbo">'Scratch'!$A$6:$A$7</definedName>
    <definedName name="RA">#REF!</definedName>
    <definedName name="srm_hi">#REF!</definedName>
    <definedName name="srm_lo">#REF!</definedName>
    <definedName name="style_list">'Scratch'!$A$61:$A$133</definedName>
  </definedNames>
  <calcPr fullCalcOnLoad="1"/>
</workbook>
</file>

<file path=xl/comments2.xml><?xml version="1.0" encoding="utf-8"?>
<comments xmlns="http://schemas.openxmlformats.org/spreadsheetml/2006/main">
  <authors>
    <author>3M</author>
    <author>The Palmers</author>
  </authors>
  <commentList>
    <comment ref="B14" authorId="0">
      <text>
        <r>
          <rPr>
            <b/>
            <sz val="9"/>
            <rFont val="Arial"/>
            <family val="0"/>
          </rPr>
          <t>Source Water:</t>
        </r>
        <r>
          <rPr>
            <sz val="9"/>
            <rFont val="Arial"/>
            <family val="0"/>
          </rPr>
          <t xml:space="preserve">
Input the mineral profile for your brewing source water. The residual alkalinity and estimated beer color range will be calculated.</t>
        </r>
      </text>
    </comment>
    <comment ref="B32" authorId="0">
      <text>
        <r>
          <rPr>
            <b/>
            <sz val="9"/>
            <rFont val="Arial"/>
            <family val="0"/>
          </rPr>
          <t>Salt Additions:</t>
        </r>
        <r>
          <rPr>
            <sz val="9"/>
            <rFont val="Arial"/>
            <family val="0"/>
          </rPr>
          <t xml:space="preserve">
To achieve a target mash pH or to enhance the flavor of a beer, enter the additions of each salt here in grams.</t>
        </r>
      </text>
    </comment>
    <comment ref="C52" authorId="1">
      <text>
        <r>
          <rPr>
            <b/>
            <sz val="9"/>
            <rFont val="Verdana"/>
            <family val="0"/>
          </rPr>
          <t>Target Sparge water pH:</t>
        </r>
        <r>
          <rPr>
            <sz val="9"/>
            <rFont val="Verdana"/>
            <family val="0"/>
          </rPr>
          <t xml:space="preserve">
I recommend keeping this at 5.2-5.5; it doesn't need to be lower.</t>
        </r>
      </text>
    </comment>
    <comment ref="B25" authorId="0">
      <text>
        <r>
          <rPr>
            <b/>
            <sz val="9"/>
            <rFont val="Arial"/>
            <family val="0"/>
          </rPr>
          <t>Dilute with Distilled Water:</t>
        </r>
        <r>
          <rPr>
            <sz val="9"/>
            <rFont val="Arial"/>
            <family val="0"/>
          </rPr>
          <t xml:space="preserve">
Example: 10% dilution would be 1 part distilled to 9 parts tap water.</t>
        </r>
      </text>
    </comment>
  </commentList>
</comments>
</file>

<file path=xl/sharedStrings.xml><?xml version="1.0" encoding="utf-8"?>
<sst xmlns="http://schemas.openxmlformats.org/spreadsheetml/2006/main" count="1696" uniqueCount="439">
  <si>
    <t>1E. Dortmunder Export</t>
  </si>
  <si>
    <t>2A. German Pilsner (Pils)</t>
  </si>
  <si>
    <t>2B. Bohemian Pilsener</t>
  </si>
  <si>
    <t>3A. Vienna Lager</t>
  </si>
  <si>
    <t>7A. N. German Altbier</t>
  </si>
  <si>
    <t>10% Hydrochloric</t>
  </si>
  <si>
    <t>3</t>
  </si>
  <si>
    <t>5</t>
  </si>
  <si>
    <t>4</t>
  </si>
  <si>
    <t>6</t>
  </si>
  <si>
    <t>2</t>
  </si>
  <si>
    <t>Very Full</t>
  </si>
  <si>
    <t>Round and Full</t>
  </si>
  <si>
    <t>7B. California Common Beer</t>
  </si>
  <si>
    <t>11A. Mild</t>
  </si>
  <si>
    <t xml:space="preserve">11B. S. English Brown </t>
  </si>
  <si>
    <t>16D. Bière de Garde</t>
  </si>
  <si>
    <t>17D. Straight Lambic</t>
  </si>
  <si>
    <t>17E. Gueuze</t>
  </si>
  <si>
    <t>Balanced</t>
  </si>
  <si>
    <t>Style:</t>
  </si>
  <si>
    <t>10-14</t>
  </si>
  <si>
    <t>Cloying</t>
  </si>
  <si>
    <t>10</t>
  </si>
  <si>
    <t>3B. Oktoberfest/Märzen</t>
  </si>
  <si>
    <t>4B. Munich Dunkel</t>
  </si>
  <si>
    <t>4C. Schwarzbier</t>
  </si>
  <si>
    <t>Final Total Alkalinity as CaCO3</t>
  </si>
  <si>
    <t>Final Sulfate (ppm)</t>
  </si>
  <si>
    <t>Final Chloride (ppm)</t>
  </si>
  <si>
    <t>Final Sodium (ppm)</t>
  </si>
  <si>
    <t xml:space="preserve">Units are grams, Gallons, and milliliters. </t>
  </si>
  <si>
    <t>4.5</t>
  </si>
  <si>
    <t>7</t>
  </si>
  <si>
    <t>3</t>
  </si>
  <si>
    <t>6</t>
  </si>
  <si>
    <t>Mash Water Volume (gal)</t>
  </si>
  <si>
    <t>Target RA Est. SRM (Low)</t>
  </si>
  <si>
    <t>Target RA Est. SRM (High)</t>
  </si>
  <si>
    <t>Sparge Water Volume (gal)</t>
  </si>
  <si>
    <t>9D. Irish Red Ale</t>
  </si>
  <si>
    <t>9E. Strong Scotch Ale</t>
  </si>
  <si>
    <t>8A. Ordinary Bitter</t>
  </si>
  <si>
    <t>8B. Special Bitter</t>
  </si>
  <si>
    <t xml:space="preserve">8C. Strong Bitter </t>
  </si>
  <si>
    <t>9A. Scottish 60/-</t>
  </si>
  <si>
    <t>9B. Scottish 70/-</t>
  </si>
  <si>
    <t>9C. Scottish  80/-</t>
  </si>
  <si>
    <t>13B. Sweet Stout</t>
  </si>
  <si>
    <t>13C. Oatmeal Stout</t>
  </si>
  <si>
    <t>13D. Foreign Extra Stout</t>
  </si>
  <si>
    <t>13E. American Stout</t>
  </si>
  <si>
    <t>13F. Imperial Stout</t>
  </si>
  <si>
    <t>14A. English IPA</t>
  </si>
  <si>
    <t>14C. Imperial IPA</t>
  </si>
  <si>
    <t>15A. Weizen</t>
  </si>
  <si>
    <t>16A. Witbier</t>
  </si>
  <si>
    <t>16B. Belgian Pale Ale</t>
  </si>
  <si>
    <t>16C. Saison</t>
  </si>
  <si>
    <t>17A. Berliner Weisse</t>
  </si>
  <si>
    <t>22</t>
  </si>
  <si>
    <t>20</t>
  </si>
  <si>
    <t>30</t>
  </si>
  <si>
    <t>22</t>
  </si>
  <si>
    <t>30</t>
  </si>
  <si>
    <t>25</t>
  </si>
  <si>
    <t>40</t>
  </si>
  <si>
    <t>8</t>
  </si>
  <si>
    <t>14</t>
  </si>
  <si>
    <t>6</t>
  </si>
  <si>
    <t>15</t>
  </si>
  <si>
    <t>2</t>
  </si>
  <si>
    <t>23</t>
  </si>
  <si>
    <t>4</t>
  </si>
  <si>
    <t>8</t>
  </si>
  <si>
    <t>3</t>
  </si>
  <si>
    <t>7</t>
  </si>
  <si>
    <t>17</t>
  </si>
  <si>
    <t>Z Alkalinity (Sparge)</t>
  </si>
  <si>
    <t>Volume of Source Water (gal)</t>
  </si>
  <si>
    <t>17F. Fruit Lambic</t>
  </si>
  <si>
    <t>18A. Belgian Blond Ale</t>
  </si>
  <si>
    <t>18B. Belgian Dubbel</t>
  </si>
  <si>
    <t>18C. Belgian Tripel</t>
  </si>
  <si>
    <t>18D. Golden Strong Ale</t>
  </si>
  <si>
    <t>(ppm)</t>
  </si>
  <si>
    <t>Color (SRM)</t>
  </si>
  <si>
    <t>Est. SRM (Low)</t>
  </si>
  <si>
    <t>Calcium Chloride  CaCl2*2H2O</t>
  </si>
  <si>
    <t>ppm as CaCO3</t>
  </si>
  <si>
    <t>18E. Dark Strong Ale</t>
  </si>
  <si>
    <t>19A. Old Ale</t>
  </si>
  <si>
    <t>19B. English Barleywine</t>
  </si>
  <si>
    <t>STYLE LIST</t>
  </si>
  <si>
    <t>1A. Lite American Lager</t>
  </si>
  <si>
    <t>1D. Munich Helles</t>
  </si>
  <si>
    <t>Calcium (ppm)</t>
  </si>
  <si>
    <t>Magnesium (ppm)</t>
  </si>
  <si>
    <t>Alkalinity as CaCO3</t>
  </si>
  <si>
    <t>Sodium (ppm)</t>
  </si>
  <si>
    <t>2-3</t>
  </si>
  <si>
    <t>50-60</t>
  </si>
  <si>
    <t>50</t>
  </si>
  <si>
    <t>60</t>
  </si>
  <si>
    <t>0-30</t>
  </si>
  <si>
    <t>0</t>
  </si>
  <si>
    <t>30</t>
  </si>
  <si>
    <t>0-40</t>
  </si>
  <si>
    <t>2</t>
  </si>
  <si>
    <t>3</t>
  </si>
  <si>
    <t>2</t>
  </si>
  <si>
    <t>4</t>
  </si>
  <si>
    <t>6</t>
  </si>
  <si>
    <t>5</t>
  </si>
  <si>
    <t>3.5</t>
  </si>
  <si>
    <t>10</t>
  </si>
  <si>
    <t>16</t>
  </si>
  <si>
    <t>7</t>
  </si>
  <si>
    <t>14</t>
  </si>
  <si>
    <t>22</t>
  </si>
  <si>
    <t>28</t>
  </si>
  <si>
    <t>17</t>
  </si>
  <si>
    <t>30</t>
  </si>
  <si>
    <t>11</t>
  </si>
  <si>
    <t>14</t>
  </si>
  <si>
    <t>22</t>
  </si>
  <si>
    <t>25</t>
  </si>
  <si>
    <t>18</t>
  </si>
  <si>
    <t>15C. Weizenbock</t>
  </si>
  <si>
    <t>15D. Roggenbier</t>
  </si>
  <si>
    <t>17</t>
  </si>
  <si>
    <t>9</t>
  </si>
  <si>
    <t>17</t>
  </si>
  <si>
    <t>18</t>
  </si>
  <si>
    <t>25</t>
  </si>
  <si>
    <t>18</t>
  </si>
  <si>
    <t>35</t>
  </si>
  <si>
    <t>12</t>
  </si>
  <si>
    <t>25</t>
  </si>
  <si>
    <t>5A. Helles Bock</t>
  </si>
  <si>
    <t>5B. Traditional Bock</t>
  </si>
  <si>
    <t>5C. Doppelbock</t>
  </si>
  <si>
    <t>5D. Eisbock</t>
  </si>
  <si>
    <t>6A. Cream Ale</t>
  </si>
  <si>
    <t>6B. Blonde Ale</t>
  </si>
  <si>
    <t>6C. Kölsch</t>
  </si>
  <si>
    <t>XXX Dry</t>
  </si>
  <si>
    <t>Instructions for Water Adjustment Spreadsheet</t>
  </si>
  <si>
    <t>mEq of Acid needed per liter</t>
  </si>
  <si>
    <t>4.5-7</t>
  </si>
  <si>
    <t>for bicarb mEq</t>
  </si>
  <si>
    <t>100-300</t>
  </si>
  <si>
    <t>300</t>
  </si>
  <si>
    <t>Extra Dry</t>
  </si>
  <si>
    <t>Very Dry</t>
  </si>
  <si>
    <t>XX Dry</t>
  </si>
  <si>
    <t>Delta C not</t>
  </si>
  <si>
    <t>Delta Cz</t>
  </si>
  <si>
    <t>Mg</t>
  </si>
  <si>
    <t>Mg-</t>
  </si>
  <si>
    <t>Mg+</t>
  </si>
  <si>
    <t>Total Alk</t>
  </si>
  <si>
    <t>Alk-</t>
  </si>
  <si>
    <t xml:space="preserve">11C. N. English Brown </t>
  </si>
  <si>
    <t>12A. Brown Porter</t>
  </si>
  <si>
    <t>12B. Robust Porter</t>
  </si>
  <si>
    <t>12C. Baltic Porter</t>
  </si>
  <si>
    <t>13A. Dry Stout</t>
  </si>
  <si>
    <t>SO4</t>
  </si>
  <si>
    <t>SO4-</t>
  </si>
  <si>
    <t>SO4+</t>
  </si>
  <si>
    <t>Cl</t>
  </si>
  <si>
    <t>Cl-</t>
  </si>
  <si>
    <t>Cl+</t>
  </si>
  <si>
    <t>RA</t>
  </si>
  <si>
    <t>160</t>
  </si>
  <si>
    <t>12-25</t>
  </si>
  <si>
    <t>19-35</t>
  </si>
  <si>
    <t>HCO3 ppm (if pH&lt;8.4)</t>
  </si>
  <si>
    <t>0-30</t>
  </si>
  <si>
    <t>4-6</t>
  </si>
  <si>
    <t>6</t>
  </si>
  <si>
    <t>75-150</t>
  </si>
  <si>
    <t>0</t>
  </si>
  <si>
    <t>15B. Dunkelweizen</t>
  </si>
  <si>
    <t>120-200</t>
  </si>
  <si>
    <t>Final Adjusted Water</t>
  </si>
  <si>
    <t>Final Sulfate to Chloride Ratio</t>
  </si>
  <si>
    <t>Final Calcium (ppm)</t>
  </si>
  <si>
    <t>Final Magnesium (ppm)</t>
  </si>
  <si>
    <t>Adjusted Sulfate to Chloride Ratio</t>
  </si>
  <si>
    <t>2.5-5</t>
  </si>
  <si>
    <t>0-80</t>
  </si>
  <si>
    <t>(-)30-0</t>
  </si>
  <si>
    <t>100-200</t>
  </si>
  <si>
    <t>200</t>
  </si>
  <si>
    <t>3.5-5</t>
  </si>
  <si>
    <t>6D. American Wheat /Rye</t>
  </si>
  <si>
    <t>(-)100-(-)30</t>
  </si>
  <si>
    <t>14-25</t>
  </si>
  <si>
    <t>10A. American Pale Ale</t>
  </si>
  <si>
    <t>5-14</t>
  </si>
  <si>
    <t>50-150</t>
  </si>
  <si>
    <t>0-30</t>
  </si>
  <si>
    <t>40-120</t>
  </si>
  <si>
    <t>100-400</t>
  </si>
  <si>
    <t>100</t>
  </si>
  <si>
    <t>Estimated Acid Adjustment to Reduce Remaining Residual Alkalinity to Target</t>
  </si>
  <si>
    <t>Raw Source Water pH @ 20C</t>
  </si>
  <si>
    <t>Charge mEq</t>
  </si>
  <si>
    <t>r1</t>
  </si>
  <si>
    <t>r2</t>
  </si>
  <si>
    <t>f1</t>
  </si>
  <si>
    <t>f2</t>
  </si>
  <si>
    <t>f3</t>
  </si>
  <si>
    <t>Delta C Nought</t>
  </si>
  <si>
    <t>Charge mEq</t>
  </si>
  <si>
    <t>Source Water pH</t>
  </si>
  <si>
    <t>7C. Düsseldorf Altbier</t>
  </si>
  <si>
    <t>Balance</t>
  </si>
  <si>
    <t>10% Sulfuric</t>
  </si>
  <si>
    <t>Normality</t>
  </si>
  <si>
    <t>Sparge Water Addition (ml)</t>
  </si>
  <si>
    <t>Remaining Alkalinity    (as CaCO3)</t>
  </si>
  <si>
    <t>Ct (Sparge)</t>
  </si>
  <si>
    <t>13-19</t>
  </si>
  <si>
    <t>50-75</t>
  </si>
  <si>
    <t>50</t>
  </si>
  <si>
    <t>75</t>
  </si>
  <si>
    <t>0-30</t>
  </si>
  <si>
    <t>30-90</t>
  </si>
  <si>
    <t>12-22</t>
  </si>
  <si>
    <t>20-30</t>
  </si>
  <si>
    <t>Little Dry</t>
  </si>
  <si>
    <t>Dry</t>
  </si>
  <si>
    <t>total percentage alk</t>
  </si>
  <si>
    <t>multiplication factor</t>
  </si>
  <si>
    <t>f2+2f3</t>
  </si>
  <si>
    <t>Calcium Hydroxide Ca(OH)2</t>
  </si>
  <si>
    <t>Alkalinity to be Reduced</t>
  </si>
  <si>
    <t>Residual Alkalinity</t>
  </si>
  <si>
    <t>&lt;100</t>
  </si>
  <si>
    <t>Suggested Range for Style</t>
  </si>
  <si>
    <t>5-16</t>
  </si>
  <si>
    <t>6-18</t>
  </si>
  <si>
    <t>Total Alkalinity as CaCO3</t>
  </si>
  <si>
    <t>mmol/liter</t>
  </si>
  <si>
    <t>Target Sparge Water pH @ 20C</t>
  </si>
  <si>
    <t>(grams)</t>
  </si>
  <si>
    <t>14-28</t>
  </si>
  <si>
    <t>17-30</t>
  </si>
  <si>
    <t>17B. Flanders Red Ale</t>
  </si>
  <si>
    <t>17C. Oud Bruin</t>
  </si>
  <si>
    <t>Ca+</t>
  </si>
  <si>
    <t>Cation Sum</t>
  </si>
  <si>
    <t>Source Water Data</t>
  </si>
  <si>
    <t>Source Data Diagnostics</t>
  </si>
  <si>
    <r>
      <t>Step 3:</t>
    </r>
    <r>
      <rPr>
        <sz val="9"/>
        <rFont val="Arial Bold"/>
        <family val="0"/>
      </rPr>
      <t xml:space="preserve"> Enter a Target Residual Alkalinity Value, based on Step 1, and the volume of water you are trying to adjust.</t>
    </r>
  </si>
  <si>
    <t>150</t>
  </si>
  <si>
    <t>50-100</t>
  </si>
  <si>
    <t>100</t>
  </si>
  <si>
    <t>(-)30-30</t>
  </si>
  <si>
    <t>SRM</t>
  </si>
  <si>
    <t>Est. SRM (High)</t>
  </si>
  <si>
    <t>Volume of Distilled Water (gal)</t>
  </si>
  <si>
    <t>Target Residual Alkalinity</t>
  </si>
  <si>
    <t>r1</t>
  </si>
  <si>
    <t>r2</t>
  </si>
  <si>
    <t>f1</t>
  </si>
  <si>
    <t>f2</t>
  </si>
  <si>
    <t>f3</t>
  </si>
  <si>
    <t>Water pH</t>
  </si>
  <si>
    <t>8-15</t>
  </si>
  <si>
    <t>2-8</t>
  </si>
  <si>
    <t>14-23</t>
  </si>
  <si>
    <t>30</t>
  </si>
  <si>
    <t>80-160</t>
  </si>
  <si>
    <t>80</t>
  </si>
  <si>
    <t>160</t>
  </si>
  <si>
    <t>50-150</t>
  </si>
  <si>
    <t>150</t>
  </si>
  <si>
    <t>60-120</t>
  </si>
  <si>
    <t>14-19</t>
  </si>
  <si>
    <t>6-19</t>
  </si>
  <si>
    <r>
      <t>Step 4: Optional:</t>
    </r>
    <r>
      <rPr>
        <sz val="9"/>
        <rFont val="Arial Bold"/>
        <family val="0"/>
      </rPr>
      <t xml:space="preserve"> Dilute Source Water with Distilled Water (Enter Zero if not diluting.) </t>
    </r>
  </si>
  <si>
    <t>30</t>
  </si>
  <si>
    <t xml:space="preserve">1C. Premium American </t>
  </si>
  <si>
    <t>2-6</t>
  </si>
  <si>
    <t>50-75</t>
  </si>
  <si>
    <t>75</t>
  </si>
  <si>
    <t>0</t>
  </si>
  <si>
    <t>0</t>
  </si>
  <si>
    <t>50-150</t>
  </si>
  <si>
    <t>150</t>
  </si>
  <si>
    <t>3-5</t>
  </si>
  <si>
    <t>Canning Salt  NaCl</t>
  </si>
  <si>
    <t>Chloride (ppm)</t>
  </si>
  <si>
    <t>Sulfate (ppm)</t>
  </si>
  <si>
    <t>4-7</t>
  </si>
  <si>
    <t>2.5</t>
  </si>
  <si>
    <t>5</t>
  </si>
  <si>
    <t>3</t>
  </si>
  <si>
    <t>13</t>
  </si>
  <si>
    <t>19</t>
  </si>
  <si>
    <t>10</t>
  </si>
  <si>
    <t>14</t>
  </si>
  <si>
    <t>11</t>
  </si>
  <si>
    <t>Anion per mEq</t>
  </si>
  <si>
    <t>Sulfate to Chloride Ratio</t>
  </si>
  <si>
    <t>19</t>
  </si>
  <si>
    <t>35</t>
  </si>
  <si>
    <t>12</t>
  </si>
  <si>
    <t>Additional Alkalinity Needed</t>
  </si>
  <si>
    <t>Salt Additions</t>
  </si>
  <si>
    <t>Gypsum  CaSO4 *2H2O</t>
  </si>
  <si>
    <t>120-200</t>
  </si>
  <si>
    <t>8-14</t>
  </si>
  <si>
    <t>50-150</t>
  </si>
  <si>
    <t>50</t>
  </si>
  <si>
    <t>150</t>
  </si>
  <si>
    <t>40-80</t>
  </si>
  <si>
    <t>Delta Cz (Sparge)</t>
  </si>
  <si>
    <t>9-17</t>
  </si>
  <si>
    <t>9-18</t>
  </si>
  <si>
    <t>2-5</t>
  </si>
  <si>
    <t>3.5-6</t>
  </si>
  <si>
    <t>0-120</t>
  </si>
  <si>
    <t>0-100</t>
  </si>
  <si>
    <t>80</t>
  </si>
  <si>
    <t>50-150</t>
  </si>
  <si>
    <t>50</t>
  </si>
  <si>
    <t>Bicarbonate (ppm)</t>
  </si>
  <si>
    <t>Acid Adjustment</t>
  </si>
  <si>
    <t>10% Hydrochloric</t>
  </si>
  <si>
    <t>37% Hydrochloric</t>
  </si>
  <si>
    <t>10% Phosphoric</t>
  </si>
  <si>
    <t>88% Lactic</t>
  </si>
  <si>
    <r>
      <t>Step 6: Optional:</t>
    </r>
    <r>
      <rPr>
        <sz val="9"/>
        <rFont val="Arial Bold"/>
        <family val="0"/>
      </rPr>
      <t xml:space="preserve"> Add Acid to brewing water to adjust RA to target value. (Enter Zero if not adding acid.)</t>
    </r>
  </si>
  <si>
    <t>14B. American IPA</t>
  </si>
  <si>
    <t>6-15</t>
  </si>
  <si>
    <t>Alk+</t>
  </si>
  <si>
    <t>0-50</t>
  </si>
  <si>
    <t>50-100</t>
  </si>
  <si>
    <t>100</t>
  </si>
  <si>
    <t>(-)60-0</t>
  </si>
  <si>
    <t xml:space="preserve">1B. Standard American </t>
  </si>
  <si>
    <t>2-4</t>
  </si>
  <si>
    <t>30</t>
  </si>
  <si>
    <t>0-40</t>
  </si>
  <si>
    <t>(-)60-0</t>
  </si>
  <si>
    <t>50-75</t>
  </si>
  <si>
    <r>
      <t>Step 2:</t>
    </r>
    <r>
      <rPr>
        <sz val="9"/>
        <rFont val="Arial Bold"/>
        <family val="0"/>
      </rPr>
      <t xml:space="preserve"> Enter Source Water Profile. (Choose "Bicarbonate" or "Alkalinity" in E14.)</t>
    </r>
  </si>
  <si>
    <t>10-19</t>
  </si>
  <si>
    <t>(-)30-30</t>
  </si>
  <si>
    <t>10B. American Amber Ale</t>
  </si>
  <si>
    <t>22-35</t>
  </si>
  <si>
    <t>Adjusted Residual Alkalinity as CaCO3</t>
  </si>
  <si>
    <t xml:space="preserve"> Alkalinity from Hydroxide</t>
  </si>
  <si>
    <t>Alkalinity from Bicarbonate</t>
  </si>
  <si>
    <t>50</t>
  </si>
  <si>
    <t>75</t>
  </si>
  <si>
    <t>0-30</t>
  </si>
  <si>
    <t>80-160</t>
  </si>
  <si>
    <t>Anion per ml</t>
  </si>
  <si>
    <t>Anion Contribution (ppm)</t>
  </si>
  <si>
    <t>Menu option</t>
  </si>
  <si>
    <t>Suggested Water Mineral Ranges for the Style</t>
  </si>
  <si>
    <t>11-17</t>
  </si>
  <si>
    <t>4-14</t>
  </si>
  <si>
    <t>Dilution Rate</t>
  </si>
  <si>
    <t>Step 5: Optional: Add salts to brewing water to adjust RA to target value. (Enter Zeros if not adding salt.)</t>
  </si>
  <si>
    <t>User Input</t>
  </si>
  <si>
    <t>Calc. Output</t>
  </si>
  <si>
    <t>Mash Water Addition (ml)</t>
  </si>
  <si>
    <t>2C. Classic American Pilsner</t>
  </si>
  <si>
    <t>3-6</t>
  </si>
  <si>
    <t>10-16</t>
  </si>
  <si>
    <t>40-120</t>
  </si>
  <si>
    <t>120</t>
  </si>
  <si>
    <t>0-100</t>
  </si>
  <si>
    <t>0-60</t>
  </si>
  <si>
    <t>7-14</t>
  </si>
  <si>
    <t>4A. Dark American Lager</t>
  </si>
  <si>
    <t>14-22</t>
  </si>
  <si>
    <t>80-120</t>
  </si>
  <si>
    <t>80</t>
  </si>
  <si>
    <t>40</t>
  </si>
  <si>
    <t>Alkalinity Reduced    (as CaCO3)</t>
  </si>
  <si>
    <t>Sparge Water Acidification</t>
  </si>
  <si>
    <t>Est. Acid Addition (ml)</t>
  </si>
  <si>
    <t>15-22</t>
  </si>
  <si>
    <t>3-7</t>
  </si>
  <si>
    <t>6-11</t>
  </si>
  <si>
    <t>6-25</t>
  </si>
  <si>
    <t>80-150</t>
  </si>
  <si>
    <t>60-120</t>
  </si>
  <si>
    <t>18-30</t>
  </si>
  <si>
    <t>RA-</t>
  </si>
  <si>
    <t>RA+</t>
  </si>
  <si>
    <t>10-17</t>
  </si>
  <si>
    <t>100-300</t>
  </si>
  <si>
    <t>50-100</t>
  </si>
  <si>
    <t>0-60</t>
  </si>
  <si>
    <t>10C. American Brown Ale</t>
  </si>
  <si>
    <t>18-35</t>
  </si>
  <si>
    <t>25-40</t>
  </si>
  <si>
    <t>30-40</t>
  </si>
  <si>
    <t>22-40</t>
  </si>
  <si>
    <r>
      <t>Step 7: Result:</t>
    </r>
    <r>
      <rPr>
        <sz val="9"/>
        <rFont val="Arial Bold"/>
        <family val="0"/>
      </rPr>
      <t xml:space="preserve"> Adjusted Water Chemistry, Final Residual Alkalinity, and estimated Beer Color Range</t>
    </r>
  </si>
  <si>
    <r>
      <t>Step 8: Optional:</t>
    </r>
    <r>
      <rPr>
        <sz val="9"/>
        <rFont val="Arial Bold"/>
        <family val="0"/>
      </rPr>
      <t xml:space="preserve"> Sparge Water pH Adjustment. See Instructions.</t>
    </r>
  </si>
  <si>
    <t>Na</t>
  </si>
  <si>
    <t>Na-</t>
  </si>
  <si>
    <t>Na+</t>
  </si>
  <si>
    <t>10-22</t>
  </si>
  <si>
    <t>8-22</t>
  </si>
  <si>
    <t>19C. American Barleywine</t>
  </si>
  <si>
    <t>Residual Alkalinity as CaCO3</t>
  </si>
  <si>
    <t>(ppm)</t>
  </si>
  <si>
    <t>SRM -</t>
  </si>
  <si>
    <t>SRM+</t>
  </si>
  <si>
    <t>Ca</t>
  </si>
  <si>
    <t>Ca-</t>
  </si>
  <si>
    <t>400</t>
  </si>
  <si>
    <t>0-100</t>
  </si>
  <si>
    <t>Final Residual Alkalinity as CaCO3</t>
  </si>
  <si>
    <t>Est. Acid Addition (ml)</t>
  </si>
  <si>
    <t>Anion Sum</t>
  </si>
  <si>
    <r>
      <t>Step 1:</t>
    </r>
    <r>
      <rPr>
        <sz val="9"/>
        <rFont val="Arial Bold"/>
        <family val="0"/>
      </rPr>
      <t xml:space="preserve"> Choose the desired beer style from the list to see recommended mineral ranges.</t>
    </r>
  </si>
  <si>
    <t>Note: Estimated Beer Color (SRM) ranges are a rough estimate at best.</t>
  </si>
  <si>
    <t>Adjusted pH</t>
  </si>
  <si>
    <t>Epsom Salt  MgSO4 *7H2O</t>
  </si>
  <si>
    <t>Baking Soda  NaHCO3</t>
  </si>
  <si>
    <t>Salt Contributions</t>
  </si>
  <si>
    <t>Ratio</t>
  </si>
  <si>
    <t>400</t>
  </si>
  <si>
    <r>
      <rPr>
        <sz val="10"/>
        <rFont val="Verdana"/>
        <family val="0"/>
      </rPr>
      <t>75</t>
    </r>
    <r>
      <rPr>
        <sz val="10"/>
        <rFont val="Verdana"/>
        <family val="0"/>
      </rPr>
      <t>% Phosphoric</t>
    </r>
  </si>
  <si>
    <t>37% Hydrochloric</t>
  </si>
  <si>
    <t>by John Palmer All Rights Reserved 2015</t>
  </si>
  <si>
    <t>Palmer's Brewing Water Adjustment App Version 4.0 (Gallons, SRM)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</si>
</sst>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58">
    <font>
      <sz val="10"/>
      <name val="Verdana"/>
      <family val="0"/>
    </font>
    <font>
      <b/>
      <sz val="10"/>
      <name val="Verdana"/>
      <family val="0"/>
    </font>
    <font>
      <i/>
      <sz val="10"/>
      <name val="Verdana"/>
      <family val="0"/>
    </font>
    <font>
      <b/>
      <i/>
      <sz val="10"/>
      <name val="Verdana"/>
      <family val="0"/>
    </font>
    <font>
      <sz val="9"/>
      <name val="Arial"/>
      <family val="2"/>
    </font>
    <font>
      <sz val="8"/>
      <name val="Verdana"/>
      <family val="0"/>
    </font>
    <font>
      <b/>
      <u val="single"/>
      <sz val="9"/>
      <name val="Arial"/>
      <family val="2"/>
    </font>
    <font>
      <b/>
      <sz val="9"/>
      <name val="Arial"/>
      <family val="2"/>
    </font>
    <font>
      <b/>
      <i/>
      <sz val="9"/>
      <name val="Arial"/>
      <family val="2"/>
    </font>
    <font>
      <i/>
      <sz val="9"/>
      <name val="Arial"/>
      <family val="2"/>
    </font>
    <font>
      <b/>
      <i/>
      <u val="single"/>
      <sz val="9"/>
      <name val="Arial"/>
      <family val="2"/>
    </font>
    <font>
      <sz val="9"/>
      <name val="Verdana"/>
      <family val="0"/>
    </font>
    <font>
      <b/>
      <sz val="9"/>
      <name val="Verdana"/>
      <family val="0"/>
    </font>
    <font>
      <sz val="10"/>
      <name val="Arial"/>
      <family val="2"/>
    </font>
    <font>
      <b/>
      <u val="single"/>
      <sz val="12"/>
      <name val="Arial"/>
      <family val="0"/>
    </font>
    <font>
      <sz val="9"/>
      <name val="Arial Bold"/>
      <family val="0"/>
    </font>
    <font>
      <u val="single"/>
      <sz val="9"/>
      <name val="Arial Bold"/>
      <family val="0"/>
    </font>
    <font>
      <b/>
      <sz val="10"/>
      <name val="Arial"/>
      <family val="0"/>
    </font>
    <font>
      <b/>
      <sz val="10"/>
      <color indexed="10"/>
      <name val="Verdana"/>
      <family val="0"/>
    </font>
    <font>
      <u val="single"/>
      <sz val="10"/>
      <color indexed="12"/>
      <name val="Verdana"/>
      <family val="0"/>
    </font>
    <font>
      <u val="single"/>
      <sz val="10"/>
      <color indexed="61"/>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8"/>
      <name val="Arial"/>
      <family val="0"/>
    </font>
    <font>
      <b/>
      <u val="single"/>
      <sz val="10"/>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color indexed="63"/>
      </bottom>
    </border>
    <border>
      <left style="double"/>
      <right style="double"/>
      <top style="double"/>
      <bottom style="double"/>
    </border>
    <border>
      <left style="medium"/>
      <right style="medium"/>
      <top style="medium"/>
      <bottom style="medium"/>
    </border>
    <border>
      <left style="double"/>
      <right style="double"/>
      <top>
        <color indexed="63"/>
      </top>
      <bottom style="double"/>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Dashed"/>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double"/>
      <top style="double"/>
      <bottom style="double"/>
    </border>
    <border>
      <left style="double"/>
      <right>
        <color indexed="63"/>
      </right>
      <top style="double"/>
      <bottom style="double"/>
    </border>
    <border>
      <left>
        <color indexed="63"/>
      </left>
      <right>
        <color indexed="63"/>
      </right>
      <top style="double"/>
      <bottom style="double"/>
    </border>
    <border>
      <left style="medium"/>
      <right style="medium"/>
      <top style="medium"/>
      <bottom style="double"/>
    </border>
    <border>
      <left style="medium"/>
      <right>
        <color indexed="63"/>
      </right>
      <top style="medium"/>
      <bottom style="double"/>
    </border>
    <border>
      <left style="medium"/>
      <right style="medium"/>
      <top style="double"/>
      <bottom style="medium"/>
    </border>
    <border>
      <left style="double"/>
      <right>
        <color indexed="63"/>
      </right>
      <top>
        <color indexed="63"/>
      </top>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color indexed="63"/>
      </top>
      <bottom>
        <color indexed="63"/>
      </bottom>
    </border>
    <border>
      <left style="slantDashDot"/>
      <right style="slantDashDot"/>
      <top style="slantDashDot"/>
      <bottom style="slantDashDot"/>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172" fontId="4" fillId="0" borderId="0" xfId="0" applyNumberFormat="1" applyFont="1" applyBorder="1" applyAlignment="1">
      <alignment horizontal="center" vertical="center" wrapText="1"/>
    </xf>
    <xf numFmtId="0" fontId="6" fillId="0" borderId="11" xfId="0" applyFont="1" applyBorder="1" applyAlignment="1">
      <alignment horizontal="center" vertical="center" wrapText="1"/>
    </xf>
    <xf numFmtId="172" fontId="7" fillId="0" borderId="1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0" xfId="0" applyFont="1" applyAlignment="1">
      <alignment vertical="center" wrapText="1"/>
    </xf>
    <xf numFmtId="0" fontId="8"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9" fillId="33" borderId="16" xfId="0" applyFont="1" applyFill="1" applyBorder="1" applyAlignment="1">
      <alignment horizontal="center" vertical="center" wrapText="1"/>
    </xf>
    <xf numFmtId="0" fontId="9" fillId="0" borderId="16" xfId="0" applyFont="1" applyBorder="1" applyAlignment="1">
      <alignment vertical="center" wrapText="1"/>
    </xf>
    <xf numFmtId="0" fontId="9" fillId="34" borderId="16" xfId="0" applyFont="1" applyFill="1" applyBorder="1" applyAlignment="1">
      <alignment horizontal="center" vertical="center" wrapText="1"/>
    </xf>
    <xf numFmtId="0" fontId="8" fillId="0" borderId="0" xfId="0" applyFont="1" applyBorder="1" applyAlignment="1">
      <alignment vertical="center" wrapText="1"/>
    </xf>
    <xf numFmtId="0" fontId="7" fillId="34" borderId="11" xfId="0" applyFont="1" applyFill="1" applyBorder="1" applyAlignment="1">
      <alignment horizontal="center" vertical="center" wrapText="1"/>
    </xf>
    <xf numFmtId="0" fontId="8" fillId="0" borderId="17" xfId="0" applyFont="1" applyBorder="1" applyAlignment="1">
      <alignment horizontal="center" vertical="center" wrapText="1"/>
    </xf>
    <xf numFmtId="1" fontId="8" fillId="33" borderId="12"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Border="1" applyAlignment="1">
      <alignment/>
    </xf>
    <xf numFmtId="0" fontId="13" fillId="0" borderId="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0" fontId="13" fillId="0" borderId="0" xfId="0" applyFont="1" applyFill="1" applyBorder="1" applyAlignment="1">
      <alignment/>
    </xf>
    <xf numFmtId="0" fontId="0" fillId="0" borderId="0" xfId="0" applyFont="1" applyFill="1" applyBorder="1" applyAlignment="1">
      <alignment/>
    </xf>
    <xf numFmtId="0" fontId="13" fillId="0" borderId="0" xfId="0" applyFont="1" applyBorder="1" applyAlignment="1">
      <alignment horizontal="right"/>
    </xf>
    <xf numFmtId="173" fontId="0" fillId="35" borderId="16" xfId="0" applyNumberFormat="1" applyFont="1" applyFill="1" applyBorder="1" applyAlignment="1">
      <alignment horizontal="center"/>
    </xf>
    <xf numFmtId="2" fontId="13" fillId="0" borderId="0" xfId="0" applyNumberFormat="1" applyFont="1" applyAlignment="1">
      <alignment/>
    </xf>
    <xf numFmtId="173" fontId="13" fillId="0" borderId="0" xfId="0" applyNumberFormat="1" applyFont="1" applyAlignment="1">
      <alignment/>
    </xf>
    <xf numFmtId="0" fontId="13" fillId="0" borderId="0" xfId="0" applyFont="1" applyAlignment="1">
      <alignment horizontal="right"/>
    </xf>
    <xf numFmtId="0" fontId="4" fillId="0" borderId="18" xfId="0" applyFont="1" applyBorder="1" applyAlignment="1">
      <alignment horizontal="center"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172"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2"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xf>
    <xf numFmtId="0" fontId="11" fillId="0" borderId="0" xfId="0" applyFont="1" applyFill="1" applyAlignment="1">
      <alignment/>
    </xf>
    <xf numFmtId="0" fontId="15" fillId="0" borderId="18" xfId="0" applyFont="1" applyBorder="1" applyAlignment="1">
      <alignment horizontal="left" vertical="center"/>
    </xf>
    <xf numFmtId="0" fontId="11" fillId="0" borderId="18" xfId="0" applyFont="1" applyBorder="1" applyAlignment="1">
      <alignment/>
    </xf>
    <xf numFmtId="0" fontId="11" fillId="0" borderId="0" xfId="0" applyFont="1" applyBorder="1" applyAlignment="1">
      <alignment/>
    </xf>
    <xf numFmtId="0" fontId="16" fillId="36" borderId="0" xfId="0" applyFont="1" applyFill="1" applyBorder="1" applyAlignment="1">
      <alignment horizontal="left" vertical="center"/>
    </xf>
    <xf numFmtId="0" fontId="4" fillId="36" borderId="0" xfId="0" applyFont="1" applyFill="1" applyBorder="1" applyAlignment="1">
      <alignment vertical="center" wrapText="1"/>
    </xf>
    <xf numFmtId="0" fontId="7" fillId="0" borderId="19" xfId="0" applyFont="1" applyBorder="1" applyAlignment="1">
      <alignment horizontal="center" vertical="center" wrapText="1"/>
    </xf>
    <xf numFmtId="9" fontId="7" fillId="0" borderId="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4" fillId="36" borderId="0" xfId="0" applyFont="1" applyFill="1" applyAlignment="1">
      <alignment vertical="center" wrapText="1"/>
    </xf>
    <xf numFmtId="0" fontId="11" fillId="36" borderId="0" xfId="0" applyFont="1" applyFill="1" applyAlignment="1">
      <alignment/>
    </xf>
    <xf numFmtId="0" fontId="4" fillId="36" borderId="0" xfId="0" applyFont="1" applyFill="1" applyAlignment="1">
      <alignment horizontal="center" vertical="center" wrapText="1"/>
    </xf>
    <xf numFmtId="0" fontId="8" fillId="36"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1" fontId="8" fillId="33" borderId="17" xfId="0" applyNumberFormat="1" applyFont="1" applyFill="1" applyBorder="1" applyAlignment="1">
      <alignment horizontal="center" vertical="center" wrapText="1"/>
    </xf>
    <xf numFmtId="172" fontId="11" fillId="0" borderId="0" xfId="0" applyNumberFormat="1" applyFont="1" applyAlignment="1">
      <alignment vertical="center"/>
    </xf>
    <xf numFmtId="1"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2" fontId="7" fillId="34" borderId="11" xfId="0" applyNumberFormat="1" applyFont="1" applyFill="1" applyBorder="1" applyAlignment="1" applyProtection="1">
      <alignment horizontal="center" vertical="center" wrapText="1"/>
      <protection locked="0"/>
    </xf>
    <xf numFmtId="9" fontId="7" fillId="34" borderId="11" xfId="0" applyNumberFormat="1" applyFont="1" applyFill="1" applyBorder="1" applyAlignment="1" applyProtection="1">
      <alignment horizontal="center" vertical="center" wrapText="1"/>
      <protection locked="0"/>
    </xf>
    <xf numFmtId="0" fontId="7" fillId="36" borderId="0" xfId="0" applyFont="1" applyFill="1" applyAlignment="1">
      <alignment horizontal="center" vertical="center" wrapText="1"/>
    </xf>
    <xf numFmtId="2" fontId="8" fillId="33" borderId="12" xfId="0" applyNumberFormat="1" applyFont="1" applyFill="1" applyBorder="1" applyAlignment="1">
      <alignment horizontal="center" vertical="center"/>
    </xf>
    <xf numFmtId="172" fontId="7" fillId="34" borderId="20" xfId="0" applyNumberFormat="1" applyFont="1" applyFill="1" applyBorder="1" applyAlignment="1" applyProtection="1">
      <alignment horizontal="center" vertical="center"/>
      <protection locked="0"/>
    </xf>
    <xf numFmtId="1" fontId="8" fillId="33" borderId="21" xfId="0" applyNumberFormat="1" applyFont="1" applyFill="1" applyBorder="1" applyAlignment="1">
      <alignment horizontal="center" vertical="center" wrapText="1"/>
    </xf>
    <xf numFmtId="0" fontId="7" fillId="34" borderId="11" xfId="0" applyFont="1" applyFill="1" applyBorder="1" applyAlignment="1">
      <alignment horizontal="center" vertical="center"/>
    </xf>
    <xf numFmtId="1" fontId="7" fillId="34" borderId="11"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1" fillId="0" borderId="0" xfId="0" applyFont="1" applyBorder="1" applyAlignment="1">
      <alignment vertical="center"/>
    </xf>
    <xf numFmtId="2" fontId="13" fillId="0" borderId="0" xfId="0" applyNumberFormat="1" applyFont="1" applyFill="1" applyBorder="1" applyAlignment="1">
      <alignment horizontal="center"/>
    </xf>
    <xf numFmtId="0" fontId="13" fillId="0" borderId="0" xfId="0" applyFont="1" applyFill="1" applyBorder="1" applyAlignment="1">
      <alignment horizontal="center"/>
    </xf>
    <xf numFmtId="10" fontId="13" fillId="0" borderId="0" xfId="0" applyNumberFormat="1"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0" fillId="0" borderId="16" xfId="0" applyBorder="1" applyAlignment="1">
      <alignment horizontal="center"/>
    </xf>
    <xf numFmtId="0" fontId="13" fillId="0" borderId="16"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13" fillId="0" borderId="0" xfId="0" applyFont="1" applyFill="1" applyBorder="1" applyAlignment="1">
      <alignment horizontal="left" vertical="center" wrapText="1"/>
    </xf>
    <xf numFmtId="0" fontId="7" fillId="0" borderId="22" xfId="0" applyFont="1" applyBorder="1" applyAlignment="1">
      <alignment horizontal="center" vertical="center" wrapText="1"/>
    </xf>
    <xf numFmtId="1" fontId="7" fillId="33" borderId="11" xfId="0" applyNumberFormat="1" applyFont="1" applyFill="1" applyBorder="1" applyAlignment="1">
      <alignment horizontal="center" vertical="center" wrapText="1"/>
    </xf>
    <xf numFmtId="172" fontId="7" fillId="33" borderId="10" xfId="0" applyNumberFormat="1" applyFont="1" applyFill="1" applyBorder="1" applyAlignment="1" applyProtection="1">
      <alignment horizontal="center" vertical="center"/>
      <protection locked="0"/>
    </xf>
    <xf numFmtId="0" fontId="4" fillId="0" borderId="19" xfId="0" applyFont="1" applyBorder="1" applyAlignment="1">
      <alignment horizontal="center" vertical="center" wrapText="1"/>
    </xf>
    <xf numFmtId="172" fontId="7" fillId="0" borderId="19" xfId="0" applyNumberFormat="1" applyFont="1" applyBorder="1" applyAlignment="1">
      <alignment horizontal="center" vertical="center" wrapText="1"/>
    </xf>
    <xf numFmtId="1" fontId="7" fillId="34" borderId="23" xfId="0" applyNumberFormat="1" applyFont="1" applyFill="1" applyBorder="1" applyAlignment="1" applyProtection="1">
      <alignment horizontal="center" vertical="center" wrapText="1"/>
      <protection locked="0"/>
    </xf>
    <xf numFmtId="49" fontId="17" fillId="0" borderId="0" xfId="0" applyNumberFormat="1" applyFont="1" applyAlignment="1">
      <alignment horizontal="center"/>
    </xf>
    <xf numFmtId="49" fontId="17" fillId="0" borderId="0" xfId="0" applyNumberFormat="1" applyFont="1" applyAlignment="1">
      <alignment horizontal="center" vertical="center"/>
    </xf>
    <xf numFmtId="0" fontId="17" fillId="0" borderId="0" xfId="0" applyFont="1" applyAlignment="1">
      <alignment vertical="center"/>
    </xf>
    <xf numFmtId="0" fontId="13" fillId="0" borderId="16" xfId="0" applyFont="1" applyBorder="1" applyAlignment="1">
      <alignment horizontal="left" vertical="center"/>
    </xf>
    <xf numFmtId="49" fontId="13" fillId="0" borderId="0" xfId="0" applyNumberFormat="1" applyFont="1" applyAlignment="1">
      <alignment horizontal="center"/>
    </xf>
    <xf numFmtId="1" fontId="13" fillId="0" borderId="0" xfId="0" applyNumberFormat="1" applyFont="1" applyAlignment="1">
      <alignment horizontal="center"/>
    </xf>
    <xf numFmtId="49" fontId="13" fillId="0" borderId="0" xfId="0" applyNumberFormat="1" applyFont="1" applyAlignment="1">
      <alignment horizontal="center" vertical="center"/>
    </xf>
    <xf numFmtId="1" fontId="13" fillId="0" borderId="0" xfId="0" applyNumberFormat="1" applyFont="1" applyAlignment="1">
      <alignment horizontal="center" vertical="center"/>
    </xf>
    <xf numFmtId="1" fontId="13" fillId="0" borderId="0" xfId="0" applyNumberFormat="1" applyFont="1" applyAlignment="1">
      <alignment vertical="center"/>
    </xf>
    <xf numFmtId="0" fontId="9" fillId="37" borderId="16" xfId="0" applyFont="1" applyFill="1" applyBorder="1" applyAlignment="1">
      <alignment horizontal="center" vertical="center" wrapText="1"/>
    </xf>
    <xf numFmtId="0" fontId="7" fillId="37" borderId="11" xfId="0" applyFont="1" applyFill="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1" xfId="0" applyBorder="1" applyAlignment="1">
      <alignment horizontal="center" vertical="center"/>
    </xf>
    <xf numFmtId="0" fontId="1" fillId="0" borderId="0" xfId="0" applyFont="1" applyAlignment="1">
      <alignment/>
    </xf>
    <xf numFmtId="0" fontId="18" fillId="0" borderId="0" xfId="0" applyFont="1" applyAlignment="1">
      <alignment/>
    </xf>
    <xf numFmtId="0" fontId="7" fillId="33" borderId="26"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0" fillId="36" borderId="0" xfId="0" applyFill="1" applyAlignment="1">
      <alignment/>
    </xf>
    <xf numFmtId="0" fontId="0" fillId="0" borderId="27" xfId="0" applyBorder="1" applyAlignment="1">
      <alignment/>
    </xf>
    <xf numFmtId="0" fontId="0" fillId="0" borderId="0" xfId="0" applyFont="1" applyAlignment="1">
      <alignment/>
    </xf>
    <xf numFmtId="0" fontId="0" fillId="0" borderId="28" xfId="0" applyFill="1" applyBorder="1" applyAlignment="1">
      <alignment horizontal="center"/>
    </xf>
    <xf numFmtId="0" fontId="0" fillId="0" borderId="28" xfId="0" applyFont="1" applyFill="1" applyBorder="1" applyAlignment="1">
      <alignment horizontal="center"/>
    </xf>
    <xf numFmtId="0" fontId="7" fillId="0" borderId="0" xfId="0" applyFont="1" applyAlignment="1">
      <alignment horizontal="center" vertical="center"/>
    </xf>
    <xf numFmtId="0" fontId="7" fillId="0" borderId="12" xfId="0" applyFont="1" applyBorder="1" applyAlignment="1">
      <alignment horizontal="center" vertical="center" wrapText="1"/>
    </xf>
    <xf numFmtId="0" fontId="8" fillId="0" borderId="29" xfId="0" applyFont="1" applyBorder="1" applyAlignment="1">
      <alignment horizontal="center" vertical="center" wrapText="1"/>
    </xf>
    <xf numFmtId="1" fontId="8" fillId="33" borderId="29" xfId="0" applyNumberFormat="1" applyFont="1" applyFill="1" applyBorder="1" applyAlignment="1">
      <alignment horizontal="center" vertical="center" wrapText="1"/>
    </xf>
    <xf numFmtId="172" fontId="7" fillId="33" borderId="12" xfId="0" applyNumberFormat="1" applyFont="1" applyFill="1" applyBorder="1" applyAlignment="1">
      <alignment horizontal="center" vertical="center" wrapText="1"/>
    </xf>
    <xf numFmtId="0" fontId="12" fillId="0" borderId="0" xfId="0" applyFont="1" applyAlignment="1">
      <alignment/>
    </xf>
    <xf numFmtId="0" fontId="7" fillId="0" borderId="0" xfId="0" applyFont="1" applyAlignment="1">
      <alignment vertical="center" wrapText="1"/>
    </xf>
    <xf numFmtId="172" fontId="8" fillId="33" borderId="12" xfId="0" applyNumberFormat="1" applyFont="1" applyFill="1" applyBorder="1" applyAlignment="1">
      <alignment horizontal="center" vertical="center"/>
    </xf>
    <xf numFmtId="172" fontId="8" fillId="33" borderId="17" xfId="0" applyNumberFormat="1" applyFont="1" applyFill="1" applyBorder="1" applyAlignment="1">
      <alignment horizontal="center" vertical="center"/>
    </xf>
    <xf numFmtId="0" fontId="7" fillId="0" borderId="17" xfId="0" applyFont="1" applyBorder="1" applyAlignment="1">
      <alignment horizontal="center" vertical="center" wrapText="1"/>
    </xf>
    <xf numFmtId="172" fontId="7" fillId="33" borderId="17" xfId="0" applyNumberFormat="1" applyFont="1" applyFill="1" applyBorder="1" applyAlignment="1">
      <alignment horizontal="center" vertical="center" wrapText="1"/>
    </xf>
    <xf numFmtId="0" fontId="7" fillId="0" borderId="30" xfId="0" applyFont="1" applyBorder="1" applyAlignment="1">
      <alignment horizontal="center" vertical="center" wrapText="1"/>
    </xf>
    <xf numFmtId="49" fontId="17" fillId="38" borderId="16" xfId="0" applyNumberFormat="1" applyFont="1" applyFill="1" applyBorder="1" applyAlignment="1">
      <alignment horizontal="center" vertical="center" wrapText="1"/>
    </xf>
    <xf numFmtId="49" fontId="17" fillId="38" borderId="0" xfId="0" applyNumberFormat="1" applyFont="1" applyFill="1" applyBorder="1" applyAlignment="1">
      <alignment horizontal="center" vertical="center" wrapText="1"/>
    </xf>
    <xf numFmtId="49" fontId="13" fillId="38" borderId="16" xfId="0" applyNumberFormat="1" applyFont="1" applyFill="1" applyBorder="1" applyAlignment="1">
      <alignment horizontal="center" vertical="center"/>
    </xf>
    <xf numFmtId="1" fontId="13" fillId="38" borderId="0" xfId="0" applyNumberFormat="1" applyFont="1" applyFill="1" applyBorder="1" applyAlignment="1">
      <alignment horizontal="center" vertical="center"/>
    </xf>
    <xf numFmtId="0" fontId="13" fillId="0" borderId="16" xfId="0" applyFont="1" applyBorder="1" applyAlignment="1">
      <alignment horizontal="center" vertical="center"/>
    </xf>
    <xf numFmtId="0" fontId="7"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2" xfId="0" applyFont="1" applyFill="1" applyBorder="1" applyAlignment="1">
      <alignment horizontal="center" vertical="center" wrapText="1"/>
    </xf>
    <xf numFmtId="1" fontId="8" fillId="33" borderId="31" xfId="0" applyNumberFormat="1" applyFont="1" applyFill="1" applyBorder="1" applyAlignment="1">
      <alignment horizontal="center" vertical="center" wrapText="1"/>
    </xf>
    <xf numFmtId="1" fontId="8" fillId="33" borderId="31" xfId="0" applyNumberFormat="1" applyFont="1" applyFill="1" applyBorder="1" applyAlignment="1">
      <alignment horizontal="center" vertical="center"/>
    </xf>
    <xf numFmtId="1" fontId="8" fillId="33"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0" xfId="0" applyFont="1" applyFill="1" applyBorder="1" applyAlignment="1">
      <alignment horizontal="left" vertical="center"/>
    </xf>
    <xf numFmtId="0" fontId="11" fillId="0" borderId="32" xfId="0" applyFont="1" applyFill="1" applyBorder="1" applyAlignment="1">
      <alignment vertical="center"/>
    </xf>
    <xf numFmtId="0" fontId="11" fillId="0" borderId="0" xfId="0" applyFont="1" applyFill="1" applyBorder="1" applyAlignment="1">
      <alignment vertical="center"/>
    </xf>
    <xf numFmtId="0" fontId="0" fillId="0" borderId="0" xfId="0" applyFont="1" applyAlignment="1">
      <alignment/>
    </xf>
    <xf numFmtId="0" fontId="14"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Alignment="1">
      <alignment vertical="center" wrapText="1"/>
    </xf>
    <xf numFmtId="0" fontId="16" fillId="36" borderId="32" xfId="0" applyFont="1" applyFill="1" applyBorder="1" applyAlignment="1">
      <alignment horizontal="left" vertical="center"/>
    </xf>
    <xf numFmtId="0" fontId="11" fillId="36" borderId="32" xfId="0" applyFont="1" applyFill="1" applyBorder="1" applyAlignment="1">
      <alignment vertical="center"/>
    </xf>
    <xf numFmtId="0" fontId="11" fillId="0" borderId="32" xfId="0" applyFont="1" applyBorder="1" applyAlignment="1">
      <alignment vertical="center"/>
    </xf>
    <xf numFmtId="0" fontId="16" fillId="36" borderId="0" xfId="0" applyFont="1" applyFill="1" applyAlignment="1">
      <alignment horizontal="left" vertical="center" wrapText="1"/>
    </xf>
    <xf numFmtId="0" fontId="11" fillId="0" borderId="0" xfId="0" applyFont="1" applyAlignment="1">
      <alignment vertical="center" wrapText="1"/>
    </xf>
    <xf numFmtId="0" fontId="7" fillId="0" borderId="22" xfId="0" applyFont="1" applyBorder="1" applyAlignment="1">
      <alignment horizontal="center" vertical="center" wrapText="1"/>
    </xf>
    <xf numFmtId="0" fontId="0" fillId="0" borderId="21" xfId="0" applyBorder="1" applyAlignment="1">
      <alignment horizontal="center" vertical="center" wrapTex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0" borderId="0" xfId="0" applyFont="1" applyBorder="1" applyAlignment="1">
      <alignment vertical="center"/>
    </xf>
    <xf numFmtId="0" fontId="7" fillId="37" borderId="22" xfId="0" applyFont="1" applyFill="1" applyBorder="1" applyAlignment="1">
      <alignment horizontal="center" vertical="center" wrapText="1"/>
    </xf>
    <xf numFmtId="0" fontId="0" fillId="37" borderId="23" xfId="0" applyFill="1" applyBorder="1" applyAlignment="1">
      <alignment horizontal="center" vertical="center" wrapText="1"/>
    </xf>
    <xf numFmtId="0" fontId="16" fillId="36" borderId="0" xfId="0" applyFont="1" applyFill="1" applyAlignment="1">
      <alignment horizontal="left" vertical="center"/>
    </xf>
    <xf numFmtId="0" fontId="11" fillId="0" borderId="0" xfId="0" applyFont="1" applyAlignment="1">
      <alignment vertical="center"/>
    </xf>
    <xf numFmtId="0" fontId="16" fillId="36" borderId="32" xfId="0" applyFont="1" applyFill="1" applyBorder="1" applyAlignment="1">
      <alignment horizontal="left" vertical="center" wrapText="1"/>
    </xf>
    <xf numFmtId="0" fontId="15" fillId="36" borderId="3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0"/>
        </patternFill>
      </fill>
    </dxf>
    <dxf>
      <fill>
        <patternFill>
          <bgColor indexed="35"/>
        </patternFill>
      </fill>
    </dxf>
    <dxf>
      <font>
        <strike/>
      </font>
    </dxf>
    <dxf>
      <font>
        <color indexed="10"/>
      </font>
    </dxf>
    <dxf>
      <font>
        <color rgb="FFDD0806"/>
      </font>
      <border/>
    </dxf>
    <dxf>
      <font>
        <strike/>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447675</xdr:rowOff>
    </xdr:from>
    <xdr:to>
      <xdr:col>8</xdr:col>
      <xdr:colOff>600075</xdr:colOff>
      <xdr:row>161</xdr:row>
      <xdr:rowOff>9525</xdr:rowOff>
    </xdr:to>
    <xdr:sp>
      <xdr:nvSpPr>
        <xdr:cNvPr id="1" name="Text Box 2"/>
        <xdr:cNvSpPr txBox="1">
          <a:spLocks noChangeArrowheads="1"/>
        </xdr:cNvSpPr>
      </xdr:nvSpPr>
      <xdr:spPr>
        <a:xfrm>
          <a:off x="247650" y="447675"/>
          <a:ext cx="5257800" cy="25927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Palmer’s Water Adjustment Calculator App Instructions by John Palmer
</a:t>
          </a:r>
          <a:r>
            <a:rPr lang="en-US" cap="none" sz="1000" b="1" i="0" u="none" baseline="0">
              <a:solidFill>
                <a:srgbClr val="000000"/>
              </a:solidFill>
              <a:latin typeface="Arial"/>
              <a:ea typeface="Arial"/>
              <a:cs typeface="Arial"/>
            </a:rPr>
            <a:t>All Rights Reserved, 2014
</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Scope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purpose of this application is to help the brewer calculate salt and acid additions to create different brewing waters suitable for particular beer styles. The mineral salts in the water are the seasoning for the beer, and this chemistry sets the stage for the pH of the mash, wort, and beer. Suggested mineral profiles are provided for most of the common beer styles. The profiles consist of ranges for calcium, magnesium, total alkalinity as calcium carbonate, sodium, chloride, sulfate, and residual alkalinity.
</a:t>
          </a:r>
          <a:r>
            <a:rPr lang="en-US" cap="none" sz="1000" b="1" i="0" u="none" baseline="0">
              <a:solidFill>
                <a:srgbClr val="000000"/>
              </a:solidFill>
              <a:latin typeface="Arial"/>
              <a:ea typeface="Arial"/>
              <a:cs typeface="Arial"/>
            </a:rPr>
            <a:t>The suggested mineral profiles should combine with the typical malts for the style to create a mash pH within the desired range (5.2-5.8 @ 20</a:t>
          </a:r>
          <a:r>
            <a:rPr lang="en-US" cap="none" sz="1000" b="1" i="0" u="none" baseline="0">
              <a:solidFill>
                <a:srgbClr val="000000"/>
              </a:solidFill>
              <a:latin typeface="Arial"/>
              <a:ea typeface="Arial"/>
              <a:cs typeface="Arial"/>
            </a:rPr>
            <a:t>°C) for good proteolysis and starch conversion. Adjusting the mash pH within that range is a brewer's best tool for controlling the wort pH, and eventual beer pH, for best beer flavor. But it all starts with the minerals and residual alkalinity of the water.
Background:
Residual alkalinity is a powerful tool that every homebrewer can use whether they brew with malt extract or all-grain. It describes the relationship between water mineral content and mash and beer pH. If the residual alkalinity is high, then the mash and beer pH will tend to be high, and vice versa. In my opinion, understanding this relationship is the key to being able to brew great beers in any style.
The concept of residual alkalinity was published in 1953 by Paulas Kohlbach, who determined that the pH of a distilled water mash was about 5.75, and that calcium and magnesium in brewing water react with malt phytin (phosphates) to neutralize alkalinity according to the following equation: 
Alkalinity = (Calcium/3.5) + (Magnesium/7)
Alkalinity that is not neutralized by calcium and magnesium is termed “residual” alkalinity, and residual alkalinity will drive the ph of the mash, and subsequently the beer, upwards. As mentioned above, this changes the beer’s flavor, dulling it or even causing it to be harshly bitter.
The equation for residual alkalinity is:
RA = Total Alkalinity – ((Calcium/3.5) + (Magnesium/7))
where the values are all in the same unit, either milliequivalents/liter or ppm as CaCO3.
Residual alkalinity is not the balance of Total Hardness to the Total Alkalinity; it is the balance of Total Alkalinity to the reaction of calcium and magnesium with malt phosphates, which produces hydrogen ions and helps lower pH. For this reason, you need to know the individual calcium and magnesium levels in the water, not just the total hardness as CaCO3. It is the residual alkalinity and the natural acidity of the malts in the grain bill that determines the mash pH.
For best results (generally starch conversion, yield and lauterability), for all beer styles, the mash pH should be 4.9–5.5 when measured at mash temperature, and 5.2–5.8 when measured at room temperature. (At mash temperature the pH will measure about 0.3 lower due to greater dissociation of the ions and buffers.) Darker malts are more acidic than base malts, and can handle more residual alkalinity to arrive at the target mash pH range. However, the relationship is a general one – different malts of the same Lovibond color value can have different amounts of acidity. You can use the calculated color of a beer recipe as a guide, but don’t rely on it as gospel to determine the appropriate amount of residual alkalinity; it is a general relationship, like cloud color and rain.
We are interested in beer pH because the pH of food is part of what drives the expression of flavors to our palates. A higher beer pH can make the beer smoother, rounder, but it can lead to blandness. A lower beer pH will make the flavors more assertive, but if too low can lead to one-dimensionality of the primary flavor. The goal for the brewer is finding the balance and the right beer pH for that recipe. Beer pH’s typically fall between 4.2-4.7 for lagers, and 3.8-4.3 for ales.
DISCLAIMER: The calculations for estimating suggested beer color as a function of RA (and vice versa) in this application are models, and are only generally valid over the typical range of beer color (0-40 SRM, 0-80 EBC), and the typical range of alkalinity (0-150ppm as CaCO3). 
However, the equations themselves do not know this. Therefore, the calculations will output outrageous results if outrageous inputs are used. Therefore, as a general rule for using this application, do not use additions that result in Total Alkalinity greater than 200 ppm as CaCO3, or Beer Color greater than 50 SRM (100 EBC), and be skeptical of using results that exceed 150 ppm as CaCO3 and 40 SRM (80 EBC) when designing your recipes.
Residual Alkalinity and wort (beer) color are only two of several factors that affect mash and wort pH, and wort pH is only one factor of several that affect beer pH. We cannot reliably predict mash pH from residual alkalinity and malt color unless we have specifically measured (titrated) the malts over the pH range they will encounter (source water pH to eventual mash pH). Therefore this application does not attempt to predict mash pH. The primary purpose of this application is to calculate the effect of mineral and acid additions on the total alkalinity and Kolbach residual alkalinity of the brewing source water. The secondary purpose is to provide estimations of appropriate wort/beer color, based on the author's research and experience, for ranges of total and residual alkalinity that should get the brewer within or close to the desired mash pH range. It is the responsilbility of the brewer to use these tools and actually measure the resulting mash, wort, and beer pH to determine if any additional adjustments or offsets need to be made for a particular beer recipe or brewing system.
Instructions: 
Step 1, Determining RA Target: Select the style of beer you would like to brew from the dropdown list (green highlighted cell). Most categories of the BJCP Style Guidelines (Beer Judge Certification Program, www.bjcp.org) are listed. The suggested mineral ranges, suggested RA, and typical color range of the style will be listed below. Please understand that mineral ranges are suggested ranges; it is does not mean that the middle of the range is the optimum. They are not absolute limits, you may exceed those limits if you so desire. They are suggested ranges to enable you to brew a good example of the style. 
Step 2, Source Water Profile: Enter the water profile for the source (i.e., tap) water you will be using. It is best if you can get current numbers instead of the annual averages that you tend to get from local water department annual report. Water profiles can change seasonally, so the average value may not actually be representative of the current value. Call the local water department for the current numbers or test the water yourself with a home water analysis kit, such as the LaMotte BrewLab.
The Source Data Diagnostics section shows the cation/anion electrical balance of the ions. The purpose of this diagnostic is to help you identify water profiles that may not be “real”. An annual report will show mineral ranges or an average of the ranges for the year. A listing of averages may not add up to a “real” water composition due to electrical imbalance. Water must balance electrically, and the cation and anion sums should equal one another. Unfortunately, test resolution and precision will always cause some level of experimental error, and the resulting numbers may not perfectly balance. Small test errors can easily cause discrepancies of 2 equivalents. Therefore, the diagnostic will show green shading for cation and anion sums that are within 2, but will show red for a difference in sums of greater than 2, although a difference of 5 may be a better indicator of a profile that is truly questionable. It is a tool to help you evaluate a reported water profile; don’t get obsessed with it.
The other diagnostics are the residual alkalinity of the source water, the sulfate-to-chloride ratio, and an estimated range of beer color that this source water may be appropriate for, as a result of the residual alkalinity. The sulfate-to-chloride ratio is considered a factor for the flavor balance of the beer – drier and more bitter versus fuller and sweeter. A beer with a sulfate-to-chloride ratio of 4:1 will have a hoppier balance, while a beer with a sulfate to chloride ratio of 0.5-1 will have a fuller, maltier balance. Again, please keep in mind that these are suggestions and tools to help you decide how to treat your water to improve your beer. It helps to realize that beer and brewing actually is food and cooking. The sulfate-to-chloride ratio is like seasoning with salt and pepper – it will enhance flavor but it is not magic and will not completely fix a flawed beer.
Step 3, Residual Alkalinity Target: Here is where you choose a target RA for the beer you want to brew, and input the total volume of water that you intend to adjust. Residual alkalinity is the cornerstone that drives the mash pH and eventual beer pH. Choose an RA that is within the suggested range shown in Step 1. This spreadsheet will help you achieve a final water profile and RA that are within the suggested ranges. It does not have to be exact – the relationship between residual alkalinity, mash pH, beer color, and beer pH is a general one, so close enough is good enough the first time. What is more important is to understand the tools, make the adjustments that you calculated, and then measure the results so you can confidently plan your next batch in your pursuit of perfection.
Step 4, Dilution of Source Water: You may want to dilute your tap water with distilled water if your water is high in alkalinity (ex. &gt;150 ppm as CaCO3). Increase the dilution percent until the alkalinity or RA falls within the suggested range. Dilution will also reduce your calcium and magnesium levels, and you will probably want to add salts in Step 5 to bring the at least the calcium up to minimum levels (50 ppm) for good yeast flocculation and clarity. 
Note: You can use this spreadsheet to work entirely with reverse osmosis (RO) or distilled water (DI) in either of two ways: 1) Enter zeros for all of the source water parameters in Step Two, or 2) Input 100% for the dilution percentage. The typical pH of RO water is 5.5 pH. Salt additions made in Step Five are added to the brewing water the same as for any other water source.
Step 5, Salt Additions: Add salts (in grams) to build the RA and flavor profile that you want for the beer. You may want to trade off between different calcium salts to balance the anion content. For example, if the sulfate level gets too high from adding gypsum, use some calcium chloride instead. If the alkalinity is not high enough for a dark beer, try adding a combination of sodium bicarbonate and calcium hydroxide. 
Here is where the sulfate to chloride ratio is useful to help choose which salts to use for adjusting the RA. If you intend to brew a hoppy beer, use sulfate salts to increase the ratio to about 4:1 (for example). If you are intending to brew a malt-dominated beer, then use chloride salts to decrease the ratio to 1:1 or 0.5:1. Don’t get obsessed with the numbers; this is not rocket science, it is flavor and seasoning. Use the ratio as a guideline and let the beer flavor be your true goal. Generally, I do not recommend exceeding 500 ppm for sulfate or 200 ppm for chloride, and if sulfate is high, the chloride should 100 ppm or less to avoid having the beer taste minerally or metallic. It really is like salting your food.
Note: Most brewing salts can be purchased at home brewing supply shops. Sodium bicarbonate is commonly available as baking soda. Magnesium sulfate is commonly available as Epsom Salt. Calcium Hydroxide is commonly available as Pickling Lime. Do not buy salts that are intended for other uses, such as gypsum for dry wall repair, or calcium chloride for melting snow and ice in the driveway.
Note: Calcium sulfate (gypsum) can be difficult to dissolve, depending on the existing mineral content of the water. It dissolves better in Cold water than in hot. You will probably have to stir for several minutes to get it to dissolve completely.
Step 6, Acid Additions: If the mineral profile is where you want it, but the RA is still too high, you might want to add acid to help bring it down. Different acids and concentrations are selectable in the green shaded cell. The calculation will show how many millileters of the acid are required to go from the Adjusted Residual Alkalinity in Step 5, to the Target Residual Alkalinity in Step 3.
Notes on the different acids:
 • Hydrochloric acid will add chloride ion to the water, so watch the chloride levels. Chloride above 300 ppm is not recommended due to salty flavors. See Anion Contribution box.
 • Lactic acid will not change the mineral levels, but will add a touch of sourness to the beer if large amounts are used (&gt;300 ppm for the anion). See Anion Contribution box. 
 • Sulfuric acid will add sulfate ion to the water, but it is very hazardous to skin so handle it cautiously.
 • Phosphoric acid is a popular choice because of its neutral flavor, but it can affect the calcium levels by precipitation of calcium phosphates. Measure calcium levels in the adjusted water to be sure.
Step 7, Results: This section shows the final water chemistry. Compare it to the Suggested Ranges for Style. It doesn’t have to be perfect; if it is close, brew with it to see how it tastes and adjust the next batch from there.
Step 8, Sparge Water pH Adjustment: 
Sparge water acidification is usually not necessary, but brewers in high alkalinity regions may want to adjust the pH of their sparge water to prevent a rise in mash pH towards the end of the sparge and the tannin extraction that can occur at that time. Calcium additions of 200-300 ppm are needed to actually prevent pH rise during lautering with high alkalinity water, so dilution with RO or acid additions are more effective ways to lower the alkalinity and reduce the risk of pH rise. 
Note: If using phosphoric acid, acidify to a pH of 5.2- 5.5 to avoid precipitating the calcium in the water. Higher alkalinity waters will precipitate calcium more easily, and therefore the acidified pH needs to be lower (towards 5.2). The other acids do not have this problem, and it is possible to acidify less (i.e., higher values of pH, such as 5.7-6.0) and still achieve no pH rise due to sparging.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705616\Local%20Settings\Temporary%20Internet%20Files\Content.IE5\8RATUDEF\Macintosh%20HDDOCUME~1\us705616\LOCALS~1\Temp\notesBAAA25\Web%20Downloads\aci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6">
          <cell r="I6" t="str">
            <v>lactic</v>
          </cell>
        </row>
        <row r="7">
          <cell r="I7" t="str">
            <v>phosphoric</v>
          </cell>
        </row>
        <row r="8">
          <cell r="I8" t="str">
            <v>hydrochloric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I1"/>
  <sheetViews>
    <sheetView workbookViewId="0" topLeftCell="B1">
      <selection activeCell="B2" sqref="B2"/>
    </sheetView>
  </sheetViews>
  <sheetFormatPr defaultColWidth="8.75390625" defaultRowHeight="12.75"/>
  <cols>
    <col min="1" max="1" width="3.125" style="0" customWidth="1"/>
  </cols>
  <sheetData>
    <row r="1" spans="2:9" ht="36" customHeight="1">
      <c r="B1" s="153" t="s">
        <v>147</v>
      </c>
      <c r="C1" s="154"/>
      <c r="D1" s="154"/>
      <c r="E1" s="154"/>
      <c r="F1" s="154"/>
      <c r="G1" s="154"/>
      <c r="H1" s="154"/>
      <c r="I1" s="154"/>
    </row>
  </sheetData>
  <sheetProtection/>
  <mergeCells count="1">
    <mergeCell ref="B1:I1"/>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sheetPr>
    <pageSetUpPr fitToPage="1"/>
  </sheetPr>
  <dimension ref="B1:U61"/>
  <sheetViews>
    <sheetView tabSelected="1" workbookViewId="0" topLeftCell="A1">
      <selection activeCell="B2" sqref="B2"/>
    </sheetView>
  </sheetViews>
  <sheetFormatPr defaultColWidth="13.375" defaultRowHeight="12.75"/>
  <cols>
    <col min="1" max="1" width="2.625" style="3" customWidth="1"/>
    <col min="2" max="2" width="10.875" style="4" customWidth="1"/>
    <col min="3" max="5" width="9.125" style="3" customWidth="1"/>
    <col min="6" max="9" width="9.125" style="4" customWidth="1"/>
    <col min="10" max="10" width="2.25390625" style="4" customWidth="1"/>
    <col min="11" max="15" width="9.125" style="3" customWidth="1"/>
    <col min="16" max="16384" width="13.375" style="3" customWidth="1"/>
  </cols>
  <sheetData>
    <row r="1" spans="2:9" ht="34.5" customHeight="1">
      <c r="B1" s="155" t="s">
        <v>438</v>
      </c>
      <c r="C1" s="156"/>
      <c r="D1" s="156"/>
      <c r="E1" s="156"/>
      <c r="F1" s="156"/>
      <c r="G1" s="156"/>
      <c r="H1" s="156"/>
      <c r="I1" s="156"/>
    </row>
    <row r="2" spans="3:7" ht="12">
      <c r="C2" s="21"/>
      <c r="D2" s="20" t="s">
        <v>371</v>
      </c>
      <c r="G2" s="2" t="s">
        <v>437</v>
      </c>
    </row>
    <row r="3" spans="3:10" s="1" customFormat="1" ht="24">
      <c r="C3" s="109"/>
      <c r="D3" s="20" t="s">
        <v>365</v>
      </c>
      <c r="F3" s="1" t="s">
        <v>31</v>
      </c>
      <c r="G3" s="2"/>
      <c r="I3" s="2"/>
      <c r="J3" s="2"/>
    </row>
    <row r="4" spans="3:10" s="1" customFormat="1" ht="24">
      <c r="C4" s="19"/>
      <c r="D4" s="20" t="s">
        <v>372</v>
      </c>
      <c r="F4" s="2"/>
      <c r="G4" s="2"/>
      <c r="H4" s="2"/>
      <c r="I4" s="2"/>
      <c r="J4" s="2"/>
    </row>
    <row r="5" spans="2:15" s="1" customFormat="1" ht="12.75">
      <c r="B5"/>
      <c r="C5" s="116" t="s">
        <v>428</v>
      </c>
      <c r="D5"/>
      <c r="E5"/>
      <c r="F5"/>
      <c r="G5"/>
      <c r="H5"/>
      <c r="I5"/>
      <c r="J5"/>
      <c r="K5"/>
      <c r="L5"/>
      <c r="M5"/>
      <c r="N5"/>
      <c r="O5"/>
    </row>
    <row r="6" spans="2:15" s="1" customFormat="1" ht="10.5" customHeight="1">
      <c r="B6"/>
      <c r="C6"/>
      <c r="D6"/>
      <c r="E6"/>
      <c r="F6"/>
      <c r="G6"/>
      <c r="H6"/>
      <c r="I6"/>
      <c r="J6"/>
      <c r="K6"/>
      <c r="L6"/>
      <c r="M6"/>
      <c r="N6"/>
      <c r="O6"/>
    </row>
    <row r="7" spans="2:15" s="1" customFormat="1" ht="36" customHeight="1" thickBot="1">
      <c r="B7" s="157" t="s">
        <v>427</v>
      </c>
      <c r="C7" s="159"/>
      <c r="D7" s="159"/>
      <c r="E7" s="159"/>
      <c r="F7" s="159"/>
      <c r="G7" s="159"/>
      <c r="H7" s="166"/>
      <c r="I7" s="120"/>
      <c r="J7" s="120"/>
      <c r="K7" s="120"/>
      <c r="L7"/>
      <c r="M7"/>
      <c r="N7"/>
      <c r="O7"/>
    </row>
    <row r="8" spans="2:15" s="1" customFormat="1" ht="18" customHeight="1" thickBot="1" thickTop="1">
      <c r="B8" s="115" t="s">
        <v>20</v>
      </c>
      <c r="C8" s="164" t="s">
        <v>382</v>
      </c>
      <c r="D8" s="165"/>
      <c r="E8" s="165"/>
      <c r="F8" s="165"/>
      <c r="G8" s="165"/>
      <c r="H8" s="121"/>
      <c r="I8"/>
      <c r="J8"/>
      <c r="K8"/>
      <c r="L8"/>
      <c r="M8"/>
      <c r="N8"/>
      <c r="O8"/>
    </row>
    <row r="9" spans="2:15" s="1" customFormat="1" ht="9" customHeight="1" thickBot="1">
      <c r="B9"/>
      <c r="C9"/>
      <c r="D9"/>
      <c r="E9"/>
      <c r="F9"/>
      <c r="G9"/>
      <c r="H9"/>
      <c r="I9"/>
      <c r="J9"/>
      <c r="K9"/>
      <c r="L9"/>
      <c r="M9"/>
      <c r="N9"/>
      <c r="O9"/>
    </row>
    <row r="10" spans="2:15" ht="54" customHeight="1" thickBot="1">
      <c r="B10" s="111" t="s">
        <v>366</v>
      </c>
      <c r="C10" s="112" t="s">
        <v>96</v>
      </c>
      <c r="D10" s="113" t="s">
        <v>97</v>
      </c>
      <c r="E10" s="113" t="s">
        <v>98</v>
      </c>
      <c r="F10" s="112" t="s">
        <v>297</v>
      </c>
      <c r="G10" s="113" t="s">
        <v>296</v>
      </c>
      <c r="H10" s="113" t="s">
        <v>99</v>
      </c>
      <c r="I10" s="112" t="s">
        <v>240</v>
      </c>
      <c r="K10" s="142" t="s">
        <v>86</v>
      </c>
      <c r="L10"/>
      <c r="N10"/>
      <c r="O10"/>
    </row>
    <row r="11" spans="2:15" ht="18" customHeight="1" thickBot="1" thickTop="1">
      <c r="B11" s="114" t="s">
        <v>417</v>
      </c>
      <c r="C11" s="118" t="str">
        <f>VLOOKUP($C$8,Scratch!$A$62:$Y$133,5,0)</f>
        <v>50-75</v>
      </c>
      <c r="D11" s="118" t="str">
        <f>VLOOKUP($C$8,Scratch!$A$62:$Y$133,8,0)</f>
        <v>0-30</v>
      </c>
      <c r="E11" s="118" t="str">
        <f>VLOOKUP($C$8,Scratch!$A$62:$Y$133,11,0)</f>
        <v>80-120</v>
      </c>
      <c r="F11" s="118" t="str">
        <f>VLOOKUP($C$8,Scratch!$A$62:$Y$133,14,0)</f>
        <v>0-50</v>
      </c>
      <c r="G11" s="118" t="str">
        <f>VLOOKUP($C$8,Scratch!$A$62:$Y$133,17,0)</f>
        <v>50-150</v>
      </c>
      <c r="H11" s="118" t="str">
        <f>VLOOKUP($C$8,Scratch!$A$62:$Y$133,20,0)</f>
        <v>&lt;100</v>
      </c>
      <c r="I11" s="118" t="str">
        <f>VLOOKUP($C$8,Scratch!$A$62:$Y$133,23,0)</f>
        <v>40-80</v>
      </c>
      <c r="K11" s="118" t="str">
        <f>VLOOKUP($C$8,Scratch!$A$62:$Y$133,2,0)</f>
        <v>14-22</v>
      </c>
      <c r="L11"/>
      <c r="N11"/>
      <c r="O11"/>
    </row>
    <row r="12" ht="9" customHeight="1"/>
    <row r="13" spans="2:15" ht="36" customHeight="1" thickBot="1">
      <c r="B13" s="157" t="s">
        <v>351</v>
      </c>
      <c r="C13" s="159"/>
      <c r="D13" s="159"/>
      <c r="E13" s="159"/>
      <c r="F13" s="159"/>
      <c r="G13" s="159"/>
      <c r="H13" s="159"/>
      <c r="I13" s="65"/>
      <c r="J13" s="65"/>
      <c r="K13"/>
      <c r="L13"/>
      <c r="M13"/>
      <c r="N13"/>
      <c r="O13"/>
    </row>
    <row r="14" spans="2:10" s="4" customFormat="1" ht="36" customHeight="1" thickBot="1" thickTop="1">
      <c r="B14" s="6" t="s">
        <v>255</v>
      </c>
      <c r="C14" s="7" t="s">
        <v>96</v>
      </c>
      <c r="D14" s="7" t="s">
        <v>97</v>
      </c>
      <c r="E14" s="110" t="s">
        <v>98</v>
      </c>
      <c r="F14" s="7" t="s">
        <v>297</v>
      </c>
      <c r="G14" s="7" t="s">
        <v>296</v>
      </c>
      <c r="H14" s="7" t="s">
        <v>99</v>
      </c>
      <c r="I14" s="7" t="s">
        <v>271</v>
      </c>
      <c r="J14" s="8"/>
    </row>
    <row r="15" spans="2:19" s="8" customFormat="1" ht="18" customHeight="1" thickBot="1" thickTop="1">
      <c r="B15" s="10" t="s">
        <v>417</v>
      </c>
      <c r="C15" s="23">
        <v>0</v>
      </c>
      <c r="D15" s="80">
        <v>0</v>
      </c>
      <c r="E15" s="80">
        <v>0</v>
      </c>
      <c r="F15" s="80">
        <v>0</v>
      </c>
      <c r="G15" s="80">
        <v>0</v>
      </c>
      <c r="H15" s="80">
        <v>0</v>
      </c>
      <c r="I15" s="79">
        <v>7</v>
      </c>
      <c r="J15" s="11"/>
      <c r="S15" s="125"/>
    </row>
    <row r="16" s="8" customFormat="1" ht="9" customHeight="1" thickBot="1" thickTop="1">
      <c r="I16" s="60"/>
    </row>
    <row r="17" spans="2:9" s="8" customFormat="1" ht="36" customHeight="1" thickBot="1">
      <c r="B17" s="126" t="s">
        <v>256</v>
      </c>
      <c r="C17" s="126" t="s">
        <v>254</v>
      </c>
      <c r="D17" s="134" t="s">
        <v>426</v>
      </c>
      <c r="E17" s="136"/>
      <c r="F17" s="127" t="s">
        <v>416</v>
      </c>
      <c r="G17" s="24" t="s">
        <v>308</v>
      </c>
      <c r="H17" s="143" t="s">
        <v>87</v>
      </c>
      <c r="I17" s="143" t="s">
        <v>263</v>
      </c>
    </row>
    <row r="18" spans="2:9" s="8" customFormat="1" ht="18" customHeight="1" thickBot="1">
      <c r="B18" s="126"/>
      <c r="C18" s="129">
        <f>C15/20+D15/12.1+H15/23</f>
        <v>0</v>
      </c>
      <c r="D18" s="135">
        <f>F15/48+G15/35.4+IF(E14="Bicarbonate (ppm)",E15/61,E15/50)</f>
        <v>0</v>
      </c>
      <c r="E18" s="136"/>
      <c r="F18" s="128">
        <f>IF(E14="Bicarbonate (ppm)",(Scratch!$J$11*50*E15/61)-(C15/1.4)-(D15/1.7),E15-(C15/1.4)-(D15/1.7))</f>
        <v>0</v>
      </c>
      <c r="G18" s="133" t="e">
        <f>F15/G15</f>
        <v>#DIV/0!</v>
      </c>
      <c r="H18" s="145">
        <f>IF(F18&lt;-75,1,EXP((F18+75)/57)*1)</f>
        <v>3.7276927392001817</v>
      </c>
      <c r="I18" s="146">
        <f>IF(F18&lt;-125,0,EXP((F18+125)/60)*1)</f>
        <v>8.031194996067258</v>
      </c>
    </row>
    <row r="19" s="8" customFormat="1" ht="9" customHeight="1">
      <c r="I19" s="26"/>
    </row>
    <row r="20" spans="2:15" s="8" customFormat="1" ht="36" customHeight="1" thickBot="1">
      <c r="B20" s="160" t="s">
        <v>257</v>
      </c>
      <c r="C20" s="161"/>
      <c r="D20" s="161"/>
      <c r="E20" s="161"/>
      <c r="F20" s="161"/>
      <c r="G20" s="161"/>
      <c r="H20" s="161"/>
      <c r="I20" s="75"/>
      <c r="O20"/>
    </row>
    <row r="21" spans="2:9" s="8" customFormat="1" ht="36" customHeight="1" thickBot="1" thickTop="1">
      <c r="B21" s="119" t="s">
        <v>265</v>
      </c>
      <c r="C21" s="51" t="s">
        <v>36</v>
      </c>
      <c r="E21" s="9" t="s">
        <v>239</v>
      </c>
      <c r="F21" s="9" t="s">
        <v>312</v>
      </c>
      <c r="H21" s="143" t="s">
        <v>37</v>
      </c>
      <c r="I21" s="143" t="s">
        <v>38</v>
      </c>
    </row>
    <row r="22" spans="2:9" s="8" customFormat="1" ht="18" customHeight="1" thickBot="1" thickTop="1">
      <c r="B22" s="71">
        <v>0</v>
      </c>
      <c r="C22" s="73">
        <v>1</v>
      </c>
      <c r="E22" s="25">
        <f>IF(F18&gt;B22,F18-B22,0)</f>
        <v>0</v>
      </c>
      <c r="F22" s="25">
        <f>IF(F18&lt;B22,B22-F18,0)</f>
        <v>0</v>
      </c>
      <c r="H22" s="145">
        <f>IF(B22&lt;-75,0,EXP((B22+75)/57)*1)</f>
        <v>3.7276927392001817</v>
      </c>
      <c r="I22" s="146">
        <f>IF(B22&lt;-128,0,EXP((B22+125)/60)*1)</f>
        <v>8.031194996067258</v>
      </c>
    </row>
    <row r="23" spans="20:21" s="8" customFormat="1" ht="9" customHeight="1" thickTop="1">
      <c r="T23" s="81"/>
      <c r="U23" s="81"/>
    </row>
    <row r="24" spans="2:14" s="8" customFormat="1" ht="36" customHeight="1" thickBot="1">
      <c r="B24" s="157" t="s">
        <v>284</v>
      </c>
      <c r="C24" s="158"/>
      <c r="D24" s="158"/>
      <c r="E24" s="158"/>
      <c r="F24" s="158"/>
      <c r="G24" s="158"/>
      <c r="H24" s="158"/>
      <c r="I24" s="65"/>
      <c r="J24" s="65"/>
      <c r="K24" s="63"/>
      <c r="L24" s="63"/>
      <c r="M24"/>
      <c r="N24"/>
    </row>
    <row r="25" spans="2:14" s="8" customFormat="1" ht="54.75" customHeight="1" thickBot="1" thickTop="1">
      <c r="B25" s="6" t="s">
        <v>369</v>
      </c>
      <c r="C25" s="7" t="s">
        <v>96</v>
      </c>
      <c r="D25" s="7" t="s">
        <v>97</v>
      </c>
      <c r="E25" s="51" t="s">
        <v>245</v>
      </c>
      <c r="F25" s="7" t="s">
        <v>297</v>
      </c>
      <c r="G25" s="7" t="s">
        <v>296</v>
      </c>
      <c r="H25" s="7" t="s">
        <v>99</v>
      </c>
      <c r="M25"/>
      <c r="N25"/>
    </row>
    <row r="26" spans="2:14" s="8" customFormat="1" ht="18" customHeight="1" thickBot="1" thickTop="1">
      <c r="B26" s="74">
        <v>0</v>
      </c>
      <c r="C26" s="78">
        <f>(1-$B26)*C15</f>
        <v>0</v>
      </c>
      <c r="D26" s="78">
        <f>(1-$B26)*D15</f>
        <v>0</v>
      </c>
      <c r="E26" s="78">
        <f>IF(E14="Bicarbonate (ppm)",Scratch!J11*50/61*E15*(1-$B26),(1-$B26)*E15)</f>
        <v>0</v>
      </c>
      <c r="F26" s="78">
        <f>(1-$B26)*F15</f>
        <v>0</v>
      </c>
      <c r="G26" s="78">
        <f>(1-$B26)*G15</f>
        <v>0</v>
      </c>
      <c r="H26" s="78">
        <f>(1-$B26)*H15</f>
        <v>0</v>
      </c>
      <c r="J26" s="11"/>
      <c r="M26"/>
      <c r="N26"/>
    </row>
    <row r="27" spans="2:14" s="8" customFormat="1" ht="6.75" customHeight="1" thickBot="1" thickTop="1">
      <c r="B27" s="149"/>
      <c r="C27" s="150"/>
      <c r="D27" s="150"/>
      <c r="E27" s="150"/>
      <c r="F27" s="151"/>
      <c r="G27" s="150"/>
      <c r="H27" s="150"/>
      <c r="I27" s="68"/>
      <c r="J27" s="68"/>
      <c r="K27" s="67"/>
      <c r="L27" s="67"/>
      <c r="M27"/>
      <c r="N27"/>
    </row>
    <row r="28" spans="2:13" ht="54" customHeight="1" thickBot="1" thickTop="1">
      <c r="B28" s="3"/>
      <c r="C28" s="144" t="s">
        <v>79</v>
      </c>
      <c r="D28" s="144" t="s">
        <v>264</v>
      </c>
      <c r="F28" s="9" t="s">
        <v>239</v>
      </c>
      <c r="G28" s="9" t="s">
        <v>312</v>
      </c>
      <c r="J28" s="3"/>
      <c r="K28" s="24" t="s">
        <v>356</v>
      </c>
      <c r="L28" s="9" t="s">
        <v>190</v>
      </c>
      <c r="M28"/>
    </row>
    <row r="29" spans="2:13" ht="18" customHeight="1" thickBot="1" thickTop="1">
      <c r="B29" s="3"/>
      <c r="C29" s="76">
        <f>(1-B26)*C22</f>
        <v>1</v>
      </c>
      <c r="D29" s="76">
        <f>(B26)*C22</f>
        <v>0</v>
      </c>
      <c r="F29" s="25">
        <f>IF(K29&gt;B22,K29-B22,0)</f>
        <v>0</v>
      </c>
      <c r="G29" s="25">
        <f>IF(K29&lt;B22,B22-K29,0)</f>
        <v>0</v>
      </c>
      <c r="J29" s="3"/>
      <c r="K29" s="69">
        <f>E26-(C26/1.4)-(D26/1.7)</f>
        <v>0</v>
      </c>
      <c r="L29" s="132" t="e">
        <f>F26/G26</f>
        <v>#DIV/0!</v>
      </c>
      <c r="M29"/>
    </row>
    <row r="30" spans="2:21" ht="9" customHeight="1">
      <c r="B30" s="46"/>
      <c r="C30" s="47"/>
      <c r="D30" s="48"/>
      <c r="E30" s="48"/>
      <c r="F30" s="49"/>
      <c r="G30" s="50"/>
      <c r="J30" s="3"/>
      <c r="P30" s="53"/>
      <c r="Q30" s="53"/>
      <c r="R30" s="53"/>
      <c r="S30" s="53"/>
      <c r="T30" s="81"/>
      <c r="U30" s="81"/>
    </row>
    <row r="31" spans="2:21" ht="36" customHeight="1" thickBot="1">
      <c r="B31" s="171" t="s">
        <v>370</v>
      </c>
      <c r="C31" s="172"/>
      <c r="D31" s="172"/>
      <c r="E31" s="172"/>
      <c r="F31" s="172"/>
      <c r="G31" s="172"/>
      <c r="H31" s="172"/>
      <c r="I31" s="65"/>
      <c r="J31" s="66"/>
      <c r="K31" s="63"/>
      <c r="L31" s="63"/>
      <c r="T31" s="81"/>
      <c r="U31" s="81"/>
    </row>
    <row r="32" spans="2:21" ht="54" customHeight="1" thickBot="1" thickTop="1">
      <c r="B32" s="12" t="s">
        <v>313</v>
      </c>
      <c r="C32" s="13" t="s">
        <v>314</v>
      </c>
      <c r="D32" s="7" t="s">
        <v>88</v>
      </c>
      <c r="E32" s="7" t="s">
        <v>430</v>
      </c>
      <c r="F32" s="7" t="s">
        <v>238</v>
      </c>
      <c r="G32" s="7" t="s">
        <v>431</v>
      </c>
      <c r="H32" s="7" t="s">
        <v>295</v>
      </c>
      <c r="J32" s="3"/>
      <c r="T32" s="81"/>
      <c r="U32" s="81"/>
    </row>
    <row r="33" spans="2:20" ht="18" customHeight="1" thickBot="1" thickTop="1">
      <c r="B33" s="7" t="s">
        <v>248</v>
      </c>
      <c r="C33" s="72">
        <v>0</v>
      </c>
      <c r="D33" s="72">
        <v>0</v>
      </c>
      <c r="E33" s="72">
        <v>0</v>
      </c>
      <c r="F33" s="72">
        <v>0</v>
      </c>
      <c r="G33" s="72">
        <v>0</v>
      </c>
      <c r="H33" s="72">
        <v>0</v>
      </c>
      <c r="K33"/>
      <c r="M33" s="4"/>
      <c r="N33" s="4"/>
      <c r="S33" s="81"/>
      <c r="T33" s="81"/>
    </row>
    <row r="34" spans="2:20" ht="9" customHeight="1" thickBot="1">
      <c r="B34" s="26"/>
      <c r="C34" s="61"/>
      <c r="D34" s="48"/>
      <c r="E34" s="47"/>
      <c r="J34" s="16"/>
      <c r="K34"/>
      <c r="M34" s="14"/>
      <c r="S34" s="81"/>
      <c r="T34" s="81"/>
    </row>
    <row r="35" spans="2:20" ht="54" customHeight="1" thickBot="1">
      <c r="B35" s="15" t="s">
        <v>432</v>
      </c>
      <c r="C35" s="9" t="s">
        <v>96</v>
      </c>
      <c r="D35" s="9" t="s">
        <v>97</v>
      </c>
      <c r="E35" s="9" t="s">
        <v>357</v>
      </c>
      <c r="F35" s="9" t="s">
        <v>358</v>
      </c>
      <c r="G35" s="9" t="s">
        <v>297</v>
      </c>
      <c r="H35" s="9" t="s">
        <v>296</v>
      </c>
      <c r="I35" s="9" t="s">
        <v>99</v>
      </c>
      <c r="K35" s="24" t="s">
        <v>356</v>
      </c>
      <c r="L35" s="9" t="s">
        <v>190</v>
      </c>
      <c r="O35" s="53"/>
      <c r="P35" s="53"/>
      <c r="Q35" s="53"/>
      <c r="R35" s="53"/>
      <c r="S35" s="81"/>
      <c r="T35" s="81"/>
    </row>
    <row r="36" spans="2:20" ht="18" customHeight="1" thickBot="1">
      <c r="B36" s="17" t="s">
        <v>417</v>
      </c>
      <c r="C36" s="25">
        <f>(F33*540.91+C33*232.8+D33*272.6)/C22/3.785</f>
        <v>0</v>
      </c>
      <c r="D36" s="25">
        <f>E33*98.6/C22/3.785</f>
        <v>0</v>
      </c>
      <c r="E36" s="25">
        <f>F33*458.83*50/17/C22/3.785</f>
        <v>0</v>
      </c>
      <c r="F36" s="25">
        <f>(G33*718.8*50/61)/C22/3.785</f>
        <v>0</v>
      </c>
      <c r="G36" s="25">
        <f>(C33*557.7+E33*389.6)/C22/3.785</f>
        <v>0</v>
      </c>
      <c r="H36" s="25">
        <f>(D33*482.3/C22+H33*606.61/C22)/3.785</f>
        <v>0</v>
      </c>
      <c r="I36" s="25">
        <f>(G33*273.7/C22+H33*393.4/C22)/3.785</f>
        <v>0</v>
      </c>
      <c r="J36" s="3"/>
      <c r="K36" s="69">
        <f>K29+(F36+E36-(C36/1.4)-(D36/1.7))</f>
        <v>0</v>
      </c>
      <c r="L36" s="132" t="e">
        <f>(F26+G36)/(G26+H36)</f>
        <v>#DIV/0!</v>
      </c>
      <c r="O36" s="53"/>
      <c r="P36" s="53"/>
      <c r="Q36" s="53"/>
      <c r="R36" s="53"/>
      <c r="S36" s="81"/>
      <c r="T36" s="81"/>
    </row>
    <row r="37" spans="16:21" ht="9" customHeight="1">
      <c r="P37" s="53"/>
      <c r="Q37" s="53"/>
      <c r="R37" s="53"/>
      <c r="S37" s="53"/>
      <c r="T37" s="81"/>
      <c r="U37" s="81"/>
    </row>
    <row r="38" spans="2:21" ht="36" customHeight="1" thickBot="1">
      <c r="B38" s="169" t="s">
        <v>337</v>
      </c>
      <c r="C38" s="170"/>
      <c r="D38" s="170"/>
      <c r="E38" s="170"/>
      <c r="F38" s="170"/>
      <c r="G38" s="170"/>
      <c r="H38" s="170"/>
      <c r="I38" s="154"/>
      <c r="J38" s="154"/>
      <c r="K38" s="154"/>
      <c r="L38" s="154"/>
      <c r="P38" s="53"/>
      <c r="Q38" s="53"/>
      <c r="R38" s="53"/>
      <c r="S38" s="53"/>
      <c r="T38" s="81"/>
      <c r="U38" s="81"/>
    </row>
    <row r="39" spans="2:21" ht="54" customHeight="1" thickBot="1" thickTop="1">
      <c r="B39" s="162" t="s">
        <v>207</v>
      </c>
      <c r="C39" s="163"/>
      <c r="D39" s="62" t="s">
        <v>425</v>
      </c>
      <c r="E39" s="94" t="s">
        <v>373</v>
      </c>
      <c r="F39" s="7" t="s">
        <v>387</v>
      </c>
      <c r="G39" s="7" t="s">
        <v>364</v>
      </c>
      <c r="K39"/>
      <c r="L39"/>
      <c r="M39"/>
      <c r="T39" s="81"/>
      <c r="U39" s="81"/>
    </row>
    <row r="40" spans="2:21" ht="18" customHeight="1" thickBot="1" thickTop="1">
      <c r="B40" s="167" t="s">
        <v>436</v>
      </c>
      <c r="C40" s="168"/>
      <c r="D40" s="147">
        <f>IF(K36&gt;B22,C22*3.785*((K36-B22)/50)/(VLOOKUP(B40,Scratch!A45:B50,2,0)),0)</f>
        <v>0</v>
      </c>
      <c r="E40" s="99">
        <v>0</v>
      </c>
      <c r="F40" s="95">
        <f>50*E40*(VLOOKUP(B40,Scratch!A45:B50,2,0))/(C22*3.785)</f>
        <v>0</v>
      </c>
      <c r="G40" s="95">
        <f>(VLOOKUP(B40,Scratch!A45:C50,3,0))*E40*(VLOOKUP(B40,Scratch!A45:C50,2,0))/(C22*3.785)</f>
        <v>0</v>
      </c>
      <c r="K40"/>
      <c r="L40"/>
      <c r="M40"/>
      <c r="T40" s="81"/>
      <c r="U40" s="81"/>
    </row>
    <row r="41" spans="2:21" s="67" customFormat="1" ht="9" customHeight="1">
      <c r="B41" s="47"/>
      <c r="C41" s="61"/>
      <c r="D41" s="48"/>
      <c r="E41" s="47"/>
      <c r="F41" s="68"/>
      <c r="G41" s="68"/>
      <c r="H41" s="68"/>
      <c r="K41" s="48"/>
      <c r="L41" s="48"/>
      <c r="M41" s="54"/>
      <c r="O41" s="3"/>
      <c r="P41" s="3"/>
      <c r="Q41" s="3"/>
      <c r="R41" s="3"/>
      <c r="S41" s="3"/>
      <c r="T41" s="81"/>
      <c r="U41" s="3"/>
    </row>
    <row r="42" spans="2:20" ht="36" customHeight="1" thickBot="1">
      <c r="B42" s="169" t="s">
        <v>408</v>
      </c>
      <c r="C42" s="170"/>
      <c r="D42" s="170"/>
      <c r="E42" s="170"/>
      <c r="F42" s="170"/>
      <c r="G42" s="170"/>
      <c r="H42" s="170"/>
      <c r="I42" s="170"/>
      <c r="J42" s="63"/>
      <c r="K42" s="63"/>
      <c r="L42" s="63"/>
      <c r="M42" s="64"/>
      <c r="N42" s="67"/>
      <c r="O42" s="67"/>
      <c r="T42" s="81"/>
    </row>
    <row r="43" spans="2:19" ht="54" customHeight="1" thickBot="1">
      <c r="B43" s="18" t="s">
        <v>186</v>
      </c>
      <c r="C43" s="9" t="s">
        <v>188</v>
      </c>
      <c r="D43" s="9" t="s">
        <v>189</v>
      </c>
      <c r="E43" s="9" t="s">
        <v>27</v>
      </c>
      <c r="F43" s="9" t="s">
        <v>28</v>
      </c>
      <c r="G43" s="9" t="s">
        <v>29</v>
      </c>
      <c r="H43" s="9" t="s">
        <v>30</v>
      </c>
      <c r="I43" s="9" t="s">
        <v>424</v>
      </c>
      <c r="J43" s="14"/>
      <c r="K43" s="24" t="s">
        <v>187</v>
      </c>
      <c r="L43" s="143" t="s">
        <v>87</v>
      </c>
      <c r="M43" s="143" t="s">
        <v>263</v>
      </c>
      <c r="S43" s="81"/>
    </row>
    <row r="44" spans="2:19" ht="18" customHeight="1" thickBot="1">
      <c r="B44" s="17" t="s">
        <v>417</v>
      </c>
      <c r="C44" s="25">
        <f>C26+C36</f>
        <v>0</v>
      </c>
      <c r="D44" s="25">
        <f>D26+D36</f>
        <v>0</v>
      </c>
      <c r="E44" s="25">
        <f>E26+F36+E36-F40</f>
        <v>0</v>
      </c>
      <c r="F44" s="25">
        <f>IF(B40="10% Sulfuric",F26+G36+G40,F26+G36)</f>
        <v>0</v>
      </c>
      <c r="G44" s="25">
        <f>IF(OR(B40="10% Hydrochloric",B40="37% Hydrochloric"),G26+H36+G40,G26+H36)</f>
        <v>0</v>
      </c>
      <c r="H44" s="25">
        <f>H26+I36</f>
        <v>0</v>
      </c>
      <c r="I44" s="25">
        <f>E44-(C44/1.4)-(D44/1.7)</f>
        <v>0</v>
      </c>
      <c r="J44" s="22"/>
      <c r="K44" s="133" t="e">
        <f>F44/G44</f>
        <v>#DIV/0!</v>
      </c>
      <c r="L44" s="145">
        <f>IF(I44&lt;-75,1,EXP((I44+75)/57)*1)</f>
        <v>3.7276927392001817</v>
      </c>
      <c r="M44" s="146">
        <f>IF(I44&lt;-125,0,EXP((I44+125)/60)*1)</f>
        <v>8.031194996067258</v>
      </c>
      <c r="S44" s="81"/>
    </row>
    <row r="45" spans="9:15" ht="9" customHeight="1" thickBot="1">
      <c r="I45" s="3"/>
      <c r="L45" s="53"/>
      <c r="M45" s="53"/>
      <c r="O45" s="53"/>
    </row>
    <row r="46" spans="2:15" s="131" customFormat="1" ht="36" customHeight="1" thickBot="1">
      <c r="B46" s="126" t="s">
        <v>242</v>
      </c>
      <c r="C46" s="126" t="str">
        <f aca="true" t="shared" si="0" ref="C46:I47">C10</f>
        <v>Calcium (ppm)</v>
      </c>
      <c r="D46" s="126" t="str">
        <f t="shared" si="0"/>
        <v>Magnesium (ppm)</v>
      </c>
      <c r="E46" s="126" t="str">
        <f t="shared" si="0"/>
        <v>Alkalinity as CaCO3</v>
      </c>
      <c r="F46" s="126" t="str">
        <f t="shared" si="0"/>
        <v>Sulfate (ppm)</v>
      </c>
      <c r="G46" s="126" t="str">
        <f t="shared" si="0"/>
        <v>Chloride (ppm)</v>
      </c>
      <c r="H46" s="126" t="str">
        <f t="shared" si="0"/>
        <v>Sodium (ppm)</v>
      </c>
      <c r="I46" s="126" t="str">
        <f t="shared" si="0"/>
        <v>Residual Alkalinity</v>
      </c>
      <c r="J46" s="8"/>
      <c r="L46" s="148" t="str">
        <f>K10</f>
        <v>Color (SRM)</v>
      </c>
      <c r="M46" s="130"/>
      <c r="O46" s="130"/>
    </row>
    <row r="47" spans="2:15" s="131" customFormat="1" ht="18" customHeight="1" thickBot="1">
      <c r="B47" s="126" t="s">
        <v>85</v>
      </c>
      <c r="C47" s="126" t="str">
        <f t="shared" si="0"/>
        <v>50-75</v>
      </c>
      <c r="D47" s="126" t="str">
        <f t="shared" si="0"/>
        <v>0-30</v>
      </c>
      <c r="E47" s="126" t="str">
        <f t="shared" si="0"/>
        <v>80-120</v>
      </c>
      <c r="F47" s="126" t="str">
        <f t="shared" si="0"/>
        <v>0-50</v>
      </c>
      <c r="G47" s="126" t="str">
        <f t="shared" si="0"/>
        <v>50-150</v>
      </c>
      <c r="H47" s="126" t="str">
        <f t="shared" si="0"/>
        <v>&lt;100</v>
      </c>
      <c r="I47" s="126" t="str">
        <f t="shared" si="0"/>
        <v>40-80</v>
      </c>
      <c r="J47" s="8"/>
      <c r="L47" s="126" t="str">
        <f>K11</f>
        <v>14-22</v>
      </c>
      <c r="M47" s="130"/>
      <c r="O47" s="130"/>
    </row>
    <row r="48" spans="13:15" ht="9" customHeight="1" thickBot="1">
      <c r="M48" s="53"/>
      <c r="N48"/>
      <c r="O48"/>
    </row>
    <row r="49" spans="2:15" ht="9" customHeight="1">
      <c r="B49" s="55"/>
      <c r="C49" s="44"/>
      <c r="D49" s="44"/>
      <c r="E49" s="44"/>
      <c r="F49" s="43"/>
      <c r="G49" s="43"/>
      <c r="H49" s="43"/>
      <c r="I49" s="43"/>
      <c r="J49" s="43"/>
      <c r="K49" s="44"/>
      <c r="L49" s="44"/>
      <c r="M49" s="56"/>
      <c r="N49"/>
      <c r="O49"/>
    </row>
    <row r="50" spans="2:15" ht="36" customHeight="1" thickBot="1">
      <c r="B50" s="58" t="s">
        <v>409</v>
      </c>
      <c r="C50" s="59"/>
      <c r="D50" s="59"/>
      <c r="E50" s="59"/>
      <c r="F50" s="59"/>
      <c r="G50" s="5"/>
      <c r="H50" s="5"/>
      <c r="I50" s="5"/>
      <c r="J50" s="5"/>
      <c r="K50" s="45"/>
      <c r="L50" s="45"/>
      <c r="M50" s="57"/>
      <c r="N50" s="57"/>
      <c r="O50" s="57"/>
    </row>
    <row r="51" spans="2:4" ht="54" customHeight="1" thickBot="1" thickTop="1">
      <c r="B51" s="51" t="s">
        <v>208</v>
      </c>
      <c r="C51" s="51" t="s">
        <v>247</v>
      </c>
      <c r="D51" s="51" t="s">
        <v>39</v>
      </c>
    </row>
    <row r="52" spans="2:9" ht="18" customHeight="1" thickBot="1" thickTop="1">
      <c r="B52" s="96">
        <f>I15</f>
        <v>7</v>
      </c>
      <c r="C52" s="77">
        <v>5.2</v>
      </c>
      <c r="D52" s="73">
        <v>1</v>
      </c>
      <c r="G52" s="52"/>
      <c r="H52" s="52"/>
      <c r="I52" s="52"/>
    </row>
    <row r="53" spans="2:9" ht="13.5" thickBot="1" thickTop="1">
      <c r="B53" s="97"/>
      <c r="C53" s="98"/>
      <c r="G53" s="52"/>
      <c r="H53" s="52"/>
      <c r="I53" s="70"/>
    </row>
    <row r="54" spans="2:9" ht="54" customHeight="1" thickBot="1" thickTop="1">
      <c r="B54" s="162" t="s">
        <v>388</v>
      </c>
      <c r="C54" s="163"/>
      <c r="D54" s="62" t="s">
        <v>389</v>
      </c>
      <c r="E54" s="94" t="s">
        <v>222</v>
      </c>
      <c r="F54" s="7" t="s">
        <v>223</v>
      </c>
      <c r="G54"/>
      <c r="H54"/>
      <c r="I54" s="52"/>
    </row>
    <row r="55" spans="2:9" ht="18" customHeight="1" thickBot="1" thickTop="1">
      <c r="B55" s="167" t="s">
        <v>5</v>
      </c>
      <c r="C55" s="168"/>
      <c r="D55" s="147">
        <f>IF(B52&gt;C52,D52*3.785*Scratch!B18/(VLOOKUP(B55,Scratch!A45:B50,2,0)),0)</f>
        <v>0</v>
      </c>
      <c r="E55" s="99">
        <v>0</v>
      </c>
      <c r="F55" s="95">
        <f>50*((E15*(D52*3.785)/50)-(E55*(VLOOKUP(B55,Scratch!A45:B50,2,0))))/(D52*3.785+E55/1000)</f>
        <v>0</v>
      </c>
      <c r="G55"/>
      <c r="H55"/>
      <c r="I55" s="52"/>
    </row>
    <row r="56" spans="2:9" ht="18" customHeight="1">
      <c r="B56"/>
      <c r="C56"/>
      <c r="D56"/>
      <c r="E56"/>
      <c r="F56" s="82"/>
      <c r="G56" s="82"/>
      <c r="H56" s="82"/>
      <c r="I56" s="52"/>
    </row>
    <row r="57" spans="2:8" ht="18" customHeight="1">
      <c r="B57"/>
      <c r="C57"/>
      <c r="D57"/>
      <c r="E57"/>
      <c r="G57" s="3"/>
      <c r="H57" s="3"/>
    </row>
    <row r="58" spans="2:5" ht="12.75">
      <c r="B58"/>
      <c r="C58"/>
      <c r="D58"/>
      <c r="E58"/>
    </row>
    <row r="59" spans="7:8" ht="10.5">
      <c r="G59" s="3"/>
      <c r="H59" s="3"/>
    </row>
    <row r="61" spans="7:8" ht="10.5">
      <c r="G61" s="3"/>
      <c r="H61" s="3"/>
    </row>
  </sheetData>
  <sheetProtection/>
  <mergeCells count="13">
    <mergeCell ref="B54:C54"/>
    <mergeCell ref="B55:C55"/>
    <mergeCell ref="B38:L38"/>
    <mergeCell ref="B31:H31"/>
    <mergeCell ref="B42:I42"/>
    <mergeCell ref="B40:C40"/>
    <mergeCell ref="B1:I1"/>
    <mergeCell ref="B24:H24"/>
    <mergeCell ref="B13:H13"/>
    <mergeCell ref="B20:H20"/>
    <mergeCell ref="B39:C39"/>
    <mergeCell ref="C8:G8"/>
    <mergeCell ref="B7:H7"/>
  </mergeCells>
  <conditionalFormatting sqref="H22:I22">
    <cfRule type="cellIs" priority="1" dxfId="4" operator="greaterThan" stopIfTrue="1">
      <formula>50</formula>
    </cfRule>
  </conditionalFormatting>
  <conditionalFormatting sqref="B22">
    <cfRule type="cellIs" priority="2" dxfId="5" operator="notBetween" stopIfTrue="1">
      <formula>-100</formula>
      <formula>150</formula>
    </cfRule>
  </conditionalFormatting>
  <conditionalFormatting sqref="C17:D17">
    <cfRule type="expression" priority="3" dxfId="1" stopIfTrue="1">
      <formula>ABS(Main!$C$18-Main!$D$18)&lt;2</formula>
    </cfRule>
    <cfRule type="expression" priority="4" dxfId="0" stopIfTrue="1">
      <formula>ABS(Main!$C$18-Main!$D$18)&gt;2</formula>
    </cfRule>
  </conditionalFormatting>
  <dataValidations count="3">
    <dataValidation type="list" allowBlank="1" showInputMessage="1" showErrorMessage="1" sqref="E14">
      <formula1>Carbo</formula1>
    </dataValidation>
    <dataValidation type="list" allowBlank="1" showInputMessage="1" showErrorMessage="1" sqref="B40 B55">
      <formula1>Acid_List</formula1>
    </dataValidation>
    <dataValidation type="list" allowBlank="1" showInputMessage="1" showErrorMessage="1" sqref="C8:G8">
      <formula1>beer_styles</formula1>
    </dataValidation>
  </dataValidations>
  <printOptions/>
  <pageMargins left="0.75" right="0.75" top="1" bottom="1" header="0.5" footer="0.5"/>
  <pageSetup fitToHeight="1" fitToWidth="1" orientation="portrait"/>
  <legacyDrawing r:id="rId2"/>
</worksheet>
</file>

<file path=xl/worksheets/sheet3.xml><?xml version="1.0" encoding="utf-8"?>
<worksheet xmlns="http://schemas.openxmlformats.org/spreadsheetml/2006/main" xmlns:r="http://schemas.openxmlformats.org/officeDocument/2006/relationships">
  <dimension ref="A1:AH133"/>
  <sheetViews>
    <sheetView zoomScale="75" zoomScaleNormal="75" workbookViewId="0" topLeftCell="A1">
      <selection activeCell="D22" sqref="D22"/>
    </sheetView>
  </sheetViews>
  <sheetFormatPr defaultColWidth="10.625" defaultRowHeight="12.75"/>
  <cols>
    <col min="1" max="16" width="16.875" style="29" customWidth="1"/>
    <col min="17" max="16384" width="10.625" style="29" customWidth="1"/>
  </cols>
  <sheetData>
    <row r="1" spans="1:31" ht="12.75">
      <c r="A1"/>
      <c r="B1"/>
      <c r="C1"/>
      <c r="D1"/>
      <c r="E1"/>
      <c r="F1"/>
      <c r="G1"/>
      <c r="H1"/>
      <c r="I1"/>
      <c r="J1"/>
      <c r="K1" s="27"/>
      <c r="L1" s="27"/>
      <c r="M1" s="28"/>
      <c r="N1" s="28"/>
      <c r="O1" s="28"/>
      <c r="P1" s="28"/>
      <c r="Q1" s="28"/>
      <c r="R1" s="28"/>
      <c r="S1" s="28"/>
      <c r="T1" s="28"/>
      <c r="U1" s="28"/>
      <c r="V1" s="28"/>
      <c r="W1" s="28"/>
      <c r="X1" s="28"/>
      <c r="Y1" s="28"/>
      <c r="Z1" s="28"/>
      <c r="AA1" s="28"/>
      <c r="AB1" s="28"/>
      <c r="AC1" s="28"/>
      <c r="AD1" s="28"/>
      <c r="AE1" s="28"/>
    </row>
    <row r="2" spans="1:31" ht="12.75">
      <c r="A2" s="91" t="s">
        <v>89</v>
      </c>
      <c r="B2"/>
      <c r="C2"/>
      <c r="D2"/>
      <c r="E2"/>
      <c r="F2"/>
      <c r="G2"/>
      <c r="H2"/>
      <c r="I2"/>
      <c r="J2"/>
      <c r="M2" s="28"/>
      <c r="N2" s="33"/>
      <c r="O2" s="33"/>
      <c r="P2" s="33"/>
      <c r="Q2" s="33"/>
      <c r="R2" s="33"/>
      <c r="S2" s="33"/>
      <c r="T2" s="33"/>
      <c r="U2" s="33"/>
      <c r="V2" s="33"/>
      <c r="W2" s="33"/>
      <c r="X2" s="33"/>
      <c r="Y2" s="33"/>
      <c r="Z2" s="28"/>
      <c r="AA2" s="28"/>
      <c r="AB2" s="28"/>
      <c r="AC2" s="28"/>
      <c r="AD2" s="28"/>
      <c r="AE2" s="28"/>
    </row>
    <row r="3" spans="1:31" ht="12.75">
      <c r="A3" s="91" t="s">
        <v>178</v>
      </c>
      <c r="B3"/>
      <c r="C3"/>
      <c r="D3"/>
      <c r="E3"/>
      <c r="F3"/>
      <c r="G3"/>
      <c r="H3"/>
      <c r="I3"/>
      <c r="M3" s="40"/>
      <c r="N3" s="28"/>
      <c r="O3" s="28"/>
      <c r="P3" s="28"/>
      <c r="Q3" s="28"/>
      <c r="R3" s="28"/>
      <c r="S3" s="28"/>
      <c r="T3" s="28"/>
      <c r="U3" s="28"/>
      <c r="V3" s="28"/>
      <c r="W3" s="28"/>
      <c r="X3" s="28"/>
      <c r="Y3" s="28"/>
      <c r="Z3" s="28"/>
      <c r="AA3" s="28"/>
      <c r="AB3" s="28"/>
      <c r="AC3" s="28"/>
      <c r="AD3" s="28"/>
      <c r="AE3" s="28"/>
    </row>
    <row r="4" spans="1:31" ht="12.75">
      <c r="A4" s="92"/>
      <c r="B4"/>
      <c r="C4"/>
      <c r="D4"/>
      <c r="E4"/>
      <c r="F4"/>
      <c r="G4"/>
      <c r="H4">
        <v>1</v>
      </c>
      <c r="I4"/>
      <c r="K4"/>
      <c r="M4" s="40"/>
      <c r="N4" s="28"/>
      <c r="O4" s="28"/>
      <c r="P4" s="28"/>
      <c r="Q4" s="28"/>
      <c r="R4" s="28"/>
      <c r="S4" s="28"/>
      <c r="T4" s="28"/>
      <c r="U4" s="28"/>
      <c r="V4" s="28"/>
      <c r="W4" s="28"/>
      <c r="X4" s="28"/>
      <c r="Y4" s="28"/>
      <c r="Z4" s="33"/>
      <c r="AA4" s="33"/>
      <c r="AB4" s="33"/>
      <c r="AC4" s="33"/>
      <c r="AD4" s="33"/>
      <c r="AE4" s="33"/>
    </row>
    <row r="5" spans="1:31" ht="12.75">
      <c r="A5" s="92"/>
      <c r="B5"/>
      <c r="C5"/>
      <c r="D5"/>
      <c r="E5"/>
      <c r="F5"/>
      <c r="G5"/>
      <c r="H5"/>
      <c r="I5"/>
      <c r="K5"/>
      <c r="M5" s="40"/>
      <c r="N5" s="28"/>
      <c r="O5" s="28"/>
      <c r="P5" s="28"/>
      <c r="Q5" s="28"/>
      <c r="R5" s="28"/>
      <c r="S5" s="28"/>
      <c r="T5" s="28"/>
      <c r="U5" s="28"/>
      <c r="V5" s="28"/>
      <c r="W5" s="28"/>
      <c r="X5" s="28"/>
      <c r="Y5" s="28"/>
      <c r="Z5" s="33"/>
      <c r="AA5" s="33"/>
      <c r="AB5" s="33"/>
      <c r="AC5" s="33"/>
      <c r="AD5" s="33"/>
      <c r="AE5" s="33"/>
    </row>
    <row r="6" spans="1:31" ht="12.75">
      <c r="A6" s="92" t="s">
        <v>98</v>
      </c>
      <c r="B6"/>
      <c r="C6"/>
      <c r="D6"/>
      <c r="E6"/>
      <c r="F6"/>
      <c r="G6"/>
      <c r="H6"/>
      <c r="I6"/>
      <c r="K6"/>
      <c r="N6" s="28"/>
      <c r="O6" s="28"/>
      <c r="P6" s="28"/>
      <c r="Q6" s="28"/>
      <c r="R6" s="28"/>
      <c r="S6" s="28"/>
      <c r="T6" s="28"/>
      <c r="U6" s="28"/>
      <c r="V6" s="28"/>
      <c r="W6" s="28"/>
      <c r="X6" s="28"/>
      <c r="Y6" s="28"/>
      <c r="Z6" s="33"/>
      <c r="AA6" s="33"/>
      <c r="AB6" s="33"/>
      <c r="AC6" s="33"/>
      <c r="AD6" s="33"/>
      <c r="AE6" s="33"/>
    </row>
    <row r="7" spans="1:31" ht="12.75">
      <c r="A7" s="92" t="s">
        <v>331</v>
      </c>
      <c r="B7"/>
      <c r="C7"/>
      <c r="D7"/>
      <c r="E7"/>
      <c r="F7"/>
      <c r="G7"/>
      <c r="H7"/>
      <c r="I7"/>
      <c r="K7"/>
      <c r="M7" s="28"/>
      <c r="N7" s="28"/>
      <c r="O7" s="28"/>
      <c r="Y7" s="28"/>
      <c r="Z7" s="33"/>
      <c r="AA7" s="33"/>
      <c r="AB7" s="33"/>
      <c r="AC7" s="33"/>
      <c r="AD7" s="33"/>
      <c r="AE7" s="33"/>
    </row>
    <row r="8" spans="1:31" ht="12.75">
      <c r="A8"/>
      <c r="B8"/>
      <c r="C8"/>
      <c r="D8"/>
      <c r="E8"/>
      <c r="F8"/>
      <c r="G8"/>
      <c r="H8"/>
      <c r="I8"/>
      <c r="K8"/>
      <c r="M8" s="41"/>
      <c r="N8" s="28"/>
      <c r="O8" s="28"/>
      <c r="Y8" s="28"/>
      <c r="Z8" s="33"/>
      <c r="AA8" s="33"/>
      <c r="AB8" s="33"/>
      <c r="AC8" s="33"/>
      <c r="AD8" s="33"/>
      <c r="AE8" s="33"/>
    </row>
    <row r="9" spans="1:31" ht="12.75">
      <c r="A9" s="84"/>
      <c r="B9" s="83"/>
      <c r="C9" s="83"/>
      <c r="D9" s="83"/>
      <c r="E9" s="85"/>
      <c r="F9" s="85"/>
      <c r="G9" s="85"/>
      <c r="H9" s="28"/>
      <c r="I9" t="s">
        <v>235</v>
      </c>
      <c r="J9" s="122" t="s">
        <v>236</v>
      </c>
      <c r="K9"/>
      <c r="M9" s="41"/>
      <c r="N9" s="28"/>
      <c r="O9" s="28"/>
      <c r="Y9" s="28"/>
      <c r="Z9" s="33"/>
      <c r="AA9" s="33"/>
      <c r="AB9" s="33"/>
      <c r="AC9" s="33"/>
      <c r="AD9" s="33"/>
      <c r="AE9" s="33"/>
    </row>
    <row r="10" spans="1:31" ht="12.75">
      <c r="A10" s="87" t="s">
        <v>215</v>
      </c>
      <c r="B10" s="88" t="s">
        <v>217</v>
      </c>
      <c r="C10" s="88" t="s">
        <v>209</v>
      </c>
      <c r="D10" s="88" t="s">
        <v>210</v>
      </c>
      <c r="E10" s="88" t="s">
        <v>211</v>
      </c>
      <c r="F10" s="88" t="s">
        <v>212</v>
      </c>
      <c r="G10" s="88" t="s">
        <v>213</v>
      </c>
      <c r="H10" s="88" t="s">
        <v>214</v>
      </c>
      <c r="I10" s="123" t="s">
        <v>237</v>
      </c>
      <c r="J10" s="124" t="s">
        <v>150</v>
      </c>
      <c r="K10"/>
      <c r="M10" s="41"/>
      <c r="N10" s="28"/>
      <c r="O10" s="28"/>
      <c r="Y10" s="28"/>
      <c r="Z10" s="33"/>
      <c r="AA10" s="33"/>
      <c r="AB10" s="33"/>
      <c r="AC10" s="33"/>
      <c r="AD10" s="33"/>
      <c r="AE10" s="33"/>
    </row>
    <row r="11" spans="1:31" ht="12.75">
      <c r="A11" s="87"/>
      <c r="B11" s="88">
        <f>Main!B52</f>
        <v>7</v>
      </c>
      <c r="C11" s="88">
        <f>-1*(G11+2*H11)</f>
        <v>-0.8069286532460812</v>
      </c>
      <c r="D11" s="88">
        <f>10^(B11-6.38)</f>
        <v>4.1686938347033555</v>
      </c>
      <c r="E11" s="88">
        <f>10^(B11-10.38)</f>
        <v>0.00041686938347033437</v>
      </c>
      <c r="F11" s="88">
        <f>1/(1+D11+D11*E11)</f>
        <v>0.19340745038147805</v>
      </c>
      <c r="G11" s="88">
        <f>D11*F11</f>
        <v>0.8062564459909627</v>
      </c>
      <c r="H11" s="88">
        <f>E11*G11</f>
        <v>0.00033610362755923557</v>
      </c>
      <c r="I11" s="122">
        <f>G11+2*H11</f>
        <v>0.8069286532460812</v>
      </c>
      <c r="J11" s="122">
        <f>1/I11</f>
        <v>1.2392669363979565</v>
      </c>
      <c r="M11" s="41"/>
      <c r="N11" s="28"/>
      <c r="O11" s="28"/>
      <c r="P11" s="28"/>
      <c r="Q11" s="28"/>
      <c r="R11" s="28"/>
      <c r="S11" s="28"/>
      <c r="T11" s="28"/>
      <c r="U11" s="28"/>
      <c r="V11" s="28"/>
      <c r="W11" s="28"/>
      <c r="X11" s="42"/>
      <c r="Y11" s="28"/>
      <c r="Z11" s="33"/>
      <c r="AA11" s="33"/>
      <c r="AB11" s="33"/>
      <c r="AC11" s="33"/>
      <c r="AD11" s="33"/>
      <c r="AE11" s="33"/>
    </row>
    <row r="12" spans="1:31" ht="12.75">
      <c r="A12" s="87" t="s">
        <v>157</v>
      </c>
      <c r="B12" s="88" t="s">
        <v>429</v>
      </c>
      <c r="C12" s="88" t="s">
        <v>216</v>
      </c>
      <c r="D12" s="88" t="s">
        <v>266</v>
      </c>
      <c r="E12" s="88" t="s">
        <v>267</v>
      </c>
      <c r="F12" s="88" t="s">
        <v>268</v>
      </c>
      <c r="G12" s="88" t="s">
        <v>269</v>
      </c>
      <c r="H12" s="88" t="s">
        <v>270</v>
      </c>
      <c r="I12" s="34"/>
      <c r="N12" s="28"/>
      <c r="O12" s="28"/>
      <c r="P12" s="28"/>
      <c r="Q12" s="28"/>
      <c r="R12" s="28"/>
      <c r="S12" s="28"/>
      <c r="T12" s="28"/>
      <c r="U12" s="28"/>
      <c r="V12" s="28"/>
      <c r="W12" s="28"/>
      <c r="X12" s="42"/>
      <c r="Y12" s="28"/>
      <c r="Z12" s="33"/>
      <c r="AA12" s="33"/>
      <c r="AB12" s="33"/>
      <c r="AC12" s="33"/>
      <c r="AD12" s="33"/>
      <c r="AE12" s="33"/>
    </row>
    <row r="13" spans="1:31" ht="12.75">
      <c r="A13" s="87"/>
      <c r="B13" s="88">
        <f>Main!C52</f>
        <v>5.2</v>
      </c>
      <c r="C13" s="88">
        <f>-1*(G13+2*H13)</f>
        <v>-0.06197550947446205</v>
      </c>
      <c r="D13" s="88">
        <f>10^(B13-6.38)</f>
        <v>0.06606934480075964</v>
      </c>
      <c r="E13" s="88">
        <f>10^(B13-10.38)</f>
        <v>6.606934480075947E-06</v>
      </c>
      <c r="F13" s="88">
        <f>1/(1+D13+D13*E13)</f>
        <v>0.9380248999882579</v>
      </c>
      <c r="G13" s="88">
        <f>D13*F13</f>
        <v>0.06197469054902229</v>
      </c>
      <c r="H13" s="88">
        <f>E13*G13</f>
        <v>4.094627198803723E-07</v>
      </c>
      <c r="I13" s="34"/>
      <c r="N13" s="28"/>
      <c r="O13" s="28"/>
      <c r="P13" s="28"/>
      <c r="Q13" s="28"/>
      <c r="R13" s="28"/>
      <c r="S13" s="28"/>
      <c r="T13" s="28"/>
      <c r="U13" s="28"/>
      <c r="V13" s="28"/>
      <c r="W13" s="28"/>
      <c r="X13" s="42"/>
      <c r="Y13" s="28"/>
      <c r="Z13" s="33"/>
      <c r="AA13" s="33"/>
      <c r="AB13" s="33"/>
      <c r="AC13" s="33"/>
      <c r="AD13" s="33"/>
      <c r="AE13" s="33"/>
    </row>
    <row r="14" spans="4:31" ht="12.75">
      <c r="D14" s="30"/>
      <c r="H14" s="33"/>
      <c r="I14" s="34"/>
      <c r="N14" s="28"/>
      <c r="O14" s="28"/>
      <c r="P14" s="28"/>
      <c r="Q14" s="28"/>
      <c r="R14" s="28"/>
      <c r="S14" s="28"/>
      <c r="T14" s="28"/>
      <c r="U14" s="28"/>
      <c r="V14" s="28"/>
      <c r="W14" s="28"/>
      <c r="X14" s="42"/>
      <c r="Y14" s="28"/>
      <c r="Z14" s="33"/>
      <c r="AA14" s="33"/>
      <c r="AB14" s="33"/>
      <c r="AC14" s="33"/>
      <c r="AD14" s="33"/>
      <c r="AE14" s="33"/>
    </row>
    <row r="15" spans="1:31" ht="12.75">
      <c r="A15" s="86" t="s">
        <v>224</v>
      </c>
      <c r="B15" s="39">
        <f>(Main!E15/50)/(-0.01-C11)</f>
        <v>0</v>
      </c>
      <c r="C15" t="s">
        <v>246</v>
      </c>
      <c r="D15"/>
      <c r="E15"/>
      <c r="F15"/>
      <c r="G15"/>
      <c r="N15" s="28"/>
      <c r="O15" s="28"/>
      <c r="P15" s="28"/>
      <c r="Q15" s="28"/>
      <c r="R15" s="28"/>
      <c r="S15" s="28"/>
      <c r="T15" s="28"/>
      <c r="U15" s="28"/>
      <c r="V15" s="28"/>
      <c r="W15" s="28"/>
      <c r="X15" s="42"/>
      <c r="Y15" s="28"/>
      <c r="Z15" s="33"/>
      <c r="AA15" s="33"/>
      <c r="AB15" s="33"/>
      <c r="AC15" s="33"/>
      <c r="AD15" s="33"/>
      <c r="AE15" s="33"/>
    </row>
    <row r="16" spans="1:31" ht="12.75">
      <c r="A16" s="86" t="s">
        <v>156</v>
      </c>
      <c r="B16" s="39">
        <f>-0.01-C11</f>
        <v>0.7969286532460812</v>
      </c>
      <c r="C16"/>
      <c r="D16"/>
      <c r="E16"/>
      <c r="F16"/>
      <c r="G16"/>
      <c r="H16" s="32"/>
      <c r="N16" s="28"/>
      <c r="O16" s="28"/>
      <c r="P16" s="28"/>
      <c r="Q16" s="28"/>
      <c r="R16" s="28"/>
      <c r="S16" s="28"/>
      <c r="T16" s="28"/>
      <c r="U16" s="28"/>
      <c r="V16" s="28"/>
      <c r="W16" s="28"/>
      <c r="X16" s="42"/>
      <c r="Y16" s="28"/>
      <c r="Z16" s="33"/>
      <c r="AA16" s="33"/>
      <c r="AB16" s="33"/>
      <c r="AC16" s="33"/>
      <c r="AD16" s="33"/>
      <c r="AE16" s="33"/>
    </row>
    <row r="17" spans="1:31" ht="12.75">
      <c r="A17" s="86" t="s">
        <v>321</v>
      </c>
      <c r="B17" s="39">
        <f>C13-C11</f>
        <v>0.7449531437716191</v>
      </c>
      <c r="C17"/>
      <c r="D17"/>
      <c r="E17"/>
      <c r="F17"/>
      <c r="G17"/>
      <c r="H17" s="31"/>
      <c r="M17" s="33"/>
      <c r="N17" s="33"/>
      <c r="O17" s="33"/>
      <c r="P17" s="33"/>
      <c r="Q17" s="33"/>
      <c r="R17" s="33"/>
      <c r="S17" s="33"/>
      <c r="T17" s="33"/>
      <c r="U17" s="33"/>
      <c r="V17" s="33"/>
      <c r="W17" s="33"/>
      <c r="X17" s="33"/>
      <c r="Y17" s="33"/>
      <c r="Z17" s="33"/>
      <c r="AA17" s="33"/>
      <c r="AB17" s="33"/>
      <c r="AC17" s="33"/>
      <c r="AD17" s="33"/>
      <c r="AE17" s="33"/>
    </row>
    <row r="18" spans="1:31" ht="12.75">
      <c r="A18" s="86" t="s">
        <v>78</v>
      </c>
      <c r="B18" s="39">
        <f>B15*B17</f>
        <v>0</v>
      </c>
      <c r="C18" t="s">
        <v>148</v>
      </c>
      <c r="D18"/>
      <c r="E18"/>
      <c r="F18"/>
      <c r="G18"/>
      <c r="H18" s="32"/>
      <c r="M18" s="33"/>
      <c r="N18" s="33"/>
      <c r="O18" s="33"/>
      <c r="P18" s="33"/>
      <c r="Q18" s="33"/>
      <c r="R18" s="33"/>
      <c r="S18" s="33"/>
      <c r="T18" s="33"/>
      <c r="U18" s="33"/>
      <c r="V18" s="33"/>
      <c r="W18" s="33"/>
      <c r="X18" s="33"/>
      <c r="Y18" s="33"/>
      <c r="Z18" s="33"/>
      <c r="AA18" s="33"/>
      <c r="AB18" s="33"/>
      <c r="AC18" s="33"/>
      <c r="AD18" s="33"/>
      <c r="AE18" s="33"/>
    </row>
    <row r="19" spans="1:34" ht="12.75">
      <c r="A19"/>
      <c r="B19"/>
      <c r="C19"/>
      <c r="D19"/>
      <c r="E19"/>
      <c r="F19"/>
      <c r="G19"/>
      <c r="H19" s="32"/>
      <c r="I19" s="31"/>
      <c r="J19" s="31"/>
      <c r="K19" s="31"/>
      <c r="L19" s="31"/>
      <c r="M19" s="36"/>
      <c r="N19" s="36"/>
      <c r="O19" s="36"/>
      <c r="P19" s="36"/>
      <c r="Q19" s="33"/>
      <c r="R19" s="36"/>
      <c r="S19" s="36"/>
      <c r="T19" s="36"/>
      <c r="U19" s="36"/>
      <c r="V19" s="36"/>
      <c r="W19" s="36"/>
      <c r="X19" s="36"/>
      <c r="Y19" s="36"/>
      <c r="Z19" s="36"/>
      <c r="AA19" s="36"/>
      <c r="AB19" s="36"/>
      <c r="AC19" s="36"/>
      <c r="AD19" s="36"/>
      <c r="AE19" s="36"/>
      <c r="AF19" s="31"/>
      <c r="AG19" s="31"/>
      <c r="AH19" s="31"/>
    </row>
    <row r="20" spans="1:31" ht="12.75">
      <c r="A20"/>
      <c r="B20"/>
      <c r="C20"/>
      <c r="D20"/>
      <c r="E20"/>
      <c r="F20"/>
      <c r="G20"/>
      <c r="H20" s="32"/>
      <c r="AB20" s="33"/>
      <c r="AC20" s="33"/>
      <c r="AD20" s="33"/>
      <c r="AE20" s="33"/>
    </row>
    <row r="21" spans="1:31" ht="12.75">
      <c r="A21"/>
      <c r="B21"/>
      <c r="C21"/>
      <c r="D21"/>
      <c r="E21"/>
      <c r="F21"/>
      <c r="G21"/>
      <c r="H21" s="37"/>
      <c r="AB21" s="33"/>
      <c r="AC21" s="33"/>
      <c r="AD21" s="33"/>
      <c r="AE21" s="33"/>
    </row>
    <row r="22" spans="1:31" ht="12.75">
      <c r="A22"/>
      <c r="B22"/>
      <c r="C22"/>
      <c r="D22"/>
      <c r="E22"/>
      <c r="F22"/>
      <c r="G22"/>
      <c r="H22" s="32"/>
      <c r="AB22" s="33"/>
      <c r="AC22" s="33"/>
      <c r="AD22" s="33"/>
      <c r="AE22" s="33"/>
    </row>
    <row r="23" spans="1:34" ht="12.75">
      <c r="A23"/>
      <c r="B23"/>
      <c r="C23"/>
      <c r="D23"/>
      <c r="E23"/>
      <c r="F23"/>
      <c r="G23"/>
      <c r="H23" s="32"/>
      <c r="AB23" s="36"/>
      <c r="AC23" s="36"/>
      <c r="AD23" s="36"/>
      <c r="AE23" s="36"/>
      <c r="AF23" s="31"/>
      <c r="AG23" s="31"/>
      <c r="AH23" s="31"/>
    </row>
    <row r="24" spans="1:31" ht="12.75">
      <c r="A24"/>
      <c r="B24"/>
      <c r="C24"/>
      <c r="D24"/>
      <c r="E24"/>
      <c r="F24"/>
      <c r="G24"/>
      <c r="H24" s="32"/>
      <c r="AB24" s="33"/>
      <c r="AC24" s="33"/>
      <c r="AD24" s="33"/>
      <c r="AE24" s="33"/>
    </row>
    <row r="25" spans="1:31" ht="12.75">
      <c r="A25"/>
      <c r="B25"/>
      <c r="C25"/>
      <c r="D25"/>
      <c r="E25"/>
      <c r="F25"/>
      <c r="G25"/>
      <c r="H25" s="37"/>
      <c r="AB25" s="33"/>
      <c r="AC25" s="33"/>
      <c r="AD25" s="33"/>
      <c r="AE25" s="33"/>
    </row>
    <row r="26" spans="1:8" ht="12.75">
      <c r="A26"/>
      <c r="B26"/>
      <c r="C26"/>
      <c r="D26"/>
      <c r="E26"/>
      <c r="F26"/>
      <c r="G26"/>
      <c r="H26" s="32"/>
    </row>
    <row r="27" spans="1:8" ht="12.75">
      <c r="A27"/>
      <c r="B27"/>
      <c r="C27"/>
      <c r="D27"/>
      <c r="E27"/>
      <c r="F27"/>
      <c r="H27" s="32"/>
    </row>
    <row r="28" spans="1:8" ht="12.75">
      <c r="A28"/>
      <c r="B28"/>
      <c r="C28"/>
      <c r="D28"/>
      <c r="E28"/>
      <c r="F28"/>
      <c r="H28" s="32"/>
    </row>
    <row r="29" spans="5:8" ht="12.75">
      <c r="E29" s="35"/>
      <c r="H29" s="32"/>
    </row>
    <row r="30" spans="5:8" ht="12.75">
      <c r="E30" s="35"/>
      <c r="H30" s="32"/>
    </row>
    <row r="31" spans="1:8" ht="12.75">
      <c r="A31" s="89" t="s">
        <v>433</v>
      </c>
      <c r="B31" s="89" t="s">
        <v>219</v>
      </c>
      <c r="E31" s="35"/>
      <c r="H31" s="32"/>
    </row>
    <row r="32" spans="1:8" ht="12.75">
      <c r="A32" s="89">
        <v>0</v>
      </c>
      <c r="B32" s="89" t="s">
        <v>22</v>
      </c>
      <c r="E32" s="35"/>
      <c r="H32" s="32"/>
    </row>
    <row r="33" spans="1:8" ht="12.75">
      <c r="A33" s="89">
        <v>0.4</v>
      </c>
      <c r="B33" s="89" t="s">
        <v>11</v>
      </c>
      <c r="H33" s="32"/>
    </row>
    <row r="34" spans="1:16" ht="12.75">
      <c r="A34" s="89">
        <v>0.6</v>
      </c>
      <c r="B34" s="89" t="s">
        <v>12</v>
      </c>
      <c r="C34"/>
      <c r="D34"/>
      <c r="E34"/>
      <c r="F34"/>
      <c r="G34"/>
      <c r="H34"/>
      <c r="I34"/>
      <c r="J34"/>
      <c r="K34"/>
      <c r="L34"/>
      <c r="M34"/>
      <c r="N34"/>
      <c r="O34"/>
      <c r="P34"/>
    </row>
    <row r="35" spans="1:16" ht="12.75">
      <c r="A35" s="90">
        <v>0.8</v>
      </c>
      <c r="B35" s="90" t="s">
        <v>19</v>
      </c>
      <c r="C35"/>
      <c r="D35"/>
      <c r="E35"/>
      <c r="F35"/>
      <c r="G35"/>
      <c r="H35"/>
      <c r="I35"/>
      <c r="J35"/>
      <c r="K35"/>
      <c r="L35"/>
      <c r="M35"/>
      <c r="N35"/>
      <c r="O35"/>
      <c r="P35"/>
    </row>
    <row r="36" spans="1:16" ht="12.75">
      <c r="A36" s="89">
        <v>1.5</v>
      </c>
      <c r="B36" s="89" t="s">
        <v>233</v>
      </c>
      <c r="C36"/>
      <c r="D36"/>
      <c r="E36"/>
      <c r="F36"/>
      <c r="G36"/>
      <c r="H36"/>
      <c r="I36"/>
      <c r="J36"/>
      <c r="K36"/>
      <c r="L36"/>
      <c r="M36"/>
      <c r="N36"/>
      <c r="O36"/>
      <c r="P36"/>
    </row>
    <row r="37" spans="1:16" ht="12.75">
      <c r="A37" s="89">
        <v>2.01</v>
      </c>
      <c r="B37" s="89" t="s">
        <v>234</v>
      </c>
      <c r="C37"/>
      <c r="D37"/>
      <c r="E37"/>
      <c r="F37"/>
      <c r="G37"/>
      <c r="H37"/>
      <c r="I37"/>
      <c r="J37"/>
      <c r="K37"/>
      <c r="L37"/>
      <c r="M37"/>
      <c r="N37"/>
      <c r="O37"/>
      <c r="P37"/>
    </row>
    <row r="38" spans="1:31" ht="12.75">
      <c r="A38" s="89">
        <v>4.01</v>
      </c>
      <c r="B38" s="89" t="s">
        <v>153</v>
      </c>
      <c r="C38"/>
      <c r="D38"/>
      <c r="E38"/>
      <c r="F38"/>
      <c r="G38"/>
      <c r="H38"/>
      <c r="I38"/>
      <c r="J38"/>
      <c r="K38"/>
      <c r="L38"/>
      <c r="M38"/>
      <c r="N38"/>
      <c r="O38"/>
      <c r="P38"/>
      <c r="AE38" s="38"/>
    </row>
    <row r="39" spans="1:31" ht="12.75">
      <c r="A39" s="89">
        <v>6.01</v>
      </c>
      <c r="B39" s="89" t="s">
        <v>154</v>
      </c>
      <c r="C39"/>
      <c r="D39"/>
      <c r="E39"/>
      <c r="F39"/>
      <c r="G39"/>
      <c r="H39"/>
      <c r="I39"/>
      <c r="J39"/>
      <c r="K39"/>
      <c r="L39"/>
      <c r="M39"/>
      <c r="N39"/>
      <c r="O39"/>
      <c r="P39"/>
      <c r="Q39" s="33"/>
      <c r="R39" s="33"/>
      <c r="S39" s="33"/>
      <c r="T39" s="33"/>
      <c r="U39" s="33"/>
      <c r="V39" s="33"/>
      <c r="W39" s="33"/>
      <c r="X39" s="33"/>
      <c r="Y39" s="33"/>
      <c r="Z39" s="33"/>
      <c r="AA39" s="33"/>
      <c r="AB39" s="33"/>
      <c r="AC39" s="33"/>
      <c r="AD39" s="33"/>
      <c r="AE39" s="33"/>
    </row>
    <row r="40" spans="1:31" ht="12.75">
      <c r="A40" s="89">
        <v>8.01</v>
      </c>
      <c r="B40" s="89" t="s">
        <v>155</v>
      </c>
      <c r="C40"/>
      <c r="D40"/>
      <c r="E40"/>
      <c r="F40"/>
      <c r="G40"/>
      <c r="H40"/>
      <c r="I40"/>
      <c r="J40"/>
      <c r="K40"/>
      <c r="L40"/>
      <c r="M40"/>
      <c r="N40"/>
      <c r="O40"/>
      <c r="P40"/>
      <c r="Y40" s="33"/>
      <c r="Z40" s="33"/>
      <c r="AA40" s="33"/>
      <c r="AB40" s="33"/>
      <c r="AC40" s="33"/>
      <c r="AD40" s="33"/>
      <c r="AE40" s="33"/>
    </row>
    <row r="41" spans="1:31" ht="12.75">
      <c r="A41" s="89">
        <v>9.01</v>
      </c>
      <c r="B41" s="89" t="s">
        <v>146</v>
      </c>
      <c r="H41" s="31"/>
      <c r="Y41" s="28"/>
      <c r="Z41" s="28"/>
      <c r="AA41" s="28"/>
      <c r="AB41" s="28"/>
      <c r="AC41" s="28"/>
      <c r="AD41" s="28"/>
      <c r="AE41" s="28"/>
    </row>
    <row r="42" spans="25:31" ht="12.75">
      <c r="Y42" s="28"/>
      <c r="Z42" s="28"/>
      <c r="AA42" s="28"/>
      <c r="AB42" s="28"/>
      <c r="AC42" s="28"/>
      <c r="AD42" s="28"/>
      <c r="AE42" s="28"/>
    </row>
    <row r="43" spans="8:31" ht="12.75">
      <c r="H43" s="31"/>
      <c r="Y43" s="28"/>
      <c r="Z43" s="28"/>
      <c r="AA43" s="28"/>
      <c r="AB43" s="28"/>
      <c r="AC43" s="28"/>
      <c r="AD43" s="28"/>
      <c r="AE43" s="28"/>
    </row>
    <row r="44" spans="1:31" ht="12.75">
      <c r="A44" s="29" t="s">
        <v>332</v>
      </c>
      <c r="B44" s="93" t="s">
        <v>221</v>
      </c>
      <c r="C44" s="29" t="s">
        <v>307</v>
      </c>
      <c r="D44" s="29" t="s">
        <v>363</v>
      </c>
      <c r="H44" s="31"/>
      <c r="Y44" s="28"/>
      <c r="Z44" s="28"/>
      <c r="AA44" s="28"/>
      <c r="AB44" s="28"/>
      <c r="AC44" s="28"/>
      <c r="AD44" s="28"/>
      <c r="AE44" s="28"/>
    </row>
    <row r="45" spans="1:31" ht="12.75">
      <c r="A45" s="29" t="s">
        <v>333</v>
      </c>
      <c r="B45" s="29">
        <v>2.875</v>
      </c>
      <c r="C45" s="29">
        <v>35.4</v>
      </c>
      <c r="H45" s="31"/>
      <c r="Y45" s="28"/>
      <c r="Z45" s="28"/>
      <c r="AA45" s="28"/>
      <c r="AB45" s="28"/>
      <c r="AC45" s="28"/>
      <c r="AD45" s="28"/>
      <c r="AE45" s="28"/>
    </row>
    <row r="46" spans="1:31" ht="12.75">
      <c r="A46" s="29" t="s">
        <v>334</v>
      </c>
      <c r="B46" s="29">
        <v>11.978</v>
      </c>
      <c r="C46" s="29">
        <v>35.4</v>
      </c>
      <c r="H46" s="31"/>
      <c r="Y46" s="28"/>
      <c r="Z46" s="28"/>
      <c r="AA46" s="28"/>
      <c r="AB46" s="28"/>
      <c r="AC46" s="28"/>
      <c r="AD46" s="28"/>
      <c r="AE46" s="28"/>
    </row>
    <row r="47" spans="1:31" ht="12.75">
      <c r="A47" s="29" t="s">
        <v>335</v>
      </c>
      <c r="B47" s="29">
        <v>1.071</v>
      </c>
      <c r="C47" s="29">
        <v>96</v>
      </c>
      <c r="H47" s="31"/>
      <c r="Y47" s="28"/>
      <c r="Z47" s="28"/>
      <c r="AA47" s="28"/>
      <c r="AB47" s="28"/>
      <c r="AC47" s="28"/>
      <c r="AD47" s="28"/>
      <c r="AE47" s="28"/>
    </row>
    <row r="48" spans="1:31" ht="12.75">
      <c r="A48" s="152" t="s">
        <v>435</v>
      </c>
      <c r="B48" s="29">
        <v>12.326</v>
      </c>
      <c r="C48" s="29">
        <v>96</v>
      </c>
      <c r="H48" s="31"/>
      <c r="Y48" s="28"/>
      <c r="Z48" s="28"/>
      <c r="AA48" s="28"/>
      <c r="AB48" s="28"/>
      <c r="AC48" s="28"/>
      <c r="AD48" s="28"/>
      <c r="AE48" s="28"/>
    </row>
    <row r="49" spans="1:31" ht="12.75">
      <c r="A49" s="29" t="s">
        <v>336</v>
      </c>
      <c r="B49" s="29">
        <v>11.811</v>
      </c>
      <c r="C49" s="29">
        <v>89</v>
      </c>
      <c r="H49" s="31"/>
      <c r="Y49" s="28"/>
      <c r="Z49" s="28"/>
      <c r="AA49" s="28"/>
      <c r="AB49" s="28"/>
      <c r="AC49" s="28"/>
      <c r="AD49" s="28"/>
      <c r="AE49" s="28"/>
    </row>
    <row r="50" spans="1:31" ht="12.75">
      <c r="A50" s="29" t="s">
        <v>220</v>
      </c>
      <c r="B50" s="29">
        <v>2.182</v>
      </c>
      <c r="C50" s="29">
        <v>48</v>
      </c>
      <c r="H50" s="31"/>
      <c r="Y50" s="28"/>
      <c r="Z50" s="28"/>
      <c r="AA50" s="28"/>
      <c r="AB50" s="28"/>
      <c r="AC50" s="28"/>
      <c r="AD50" s="28"/>
      <c r="AE50" s="28"/>
    </row>
    <row r="51" spans="8:31" ht="12.75">
      <c r="H51" s="31"/>
      <c r="Y51" s="28"/>
      <c r="Z51" s="28"/>
      <c r="AA51" s="28"/>
      <c r="AB51" s="28"/>
      <c r="AC51" s="28"/>
      <c r="AD51" s="28"/>
      <c r="AE51" s="28"/>
    </row>
    <row r="52" spans="8:31" ht="12.75">
      <c r="H52" s="31"/>
      <c r="M52" s="28"/>
      <c r="N52" s="28"/>
      <c r="X52" s="28"/>
      <c r="Y52" s="28"/>
      <c r="Z52" s="28"/>
      <c r="AA52" s="28"/>
      <c r="AB52" s="28"/>
      <c r="AC52" s="28"/>
      <c r="AD52" s="28"/>
      <c r="AE52" s="28"/>
    </row>
    <row r="53" spans="8:31" ht="12.75">
      <c r="H53" s="31"/>
      <c r="M53" s="28"/>
      <c r="N53" s="28"/>
      <c r="O53" s="28"/>
      <c r="P53" s="28"/>
      <c r="Q53" s="28"/>
      <c r="R53" s="28"/>
      <c r="S53" s="28"/>
      <c r="T53" s="28"/>
      <c r="U53" s="28"/>
      <c r="V53" s="28"/>
      <c r="W53" s="28"/>
      <c r="X53" s="28"/>
      <c r="Y53" s="28"/>
      <c r="Z53" s="28"/>
      <c r="AA53" s="28"/>
      <c r="AB53" s="28"/>
      <c r="AC53" s="28"/>
      <c r="AD53" s="28"/>
      <c r="AE53" s="28"/>
    </row>
    <row r="54" spans="8:31" ht="12.75">
      <c r="H54" s="31"/>
      <c r="M54" s="28"/>
      <c r="N54" s="28"/>
      <c r="O54" s="28"/>
      <c r="P54" s="28"/>
      <c r="Q54" s="28"/>
      <c r="R54" s="28"/>
      <c r="S54" s="28"/>
      <c r="T54" s="28"/>
      <c r="U54" s="28"/>
      <c r="V54" s="28"/>
      <c r="W54" s="28"/>
      <c r="X54" s="28"/>
      <c r="Y54" s="28"/>
      <c r="Z54" s="28"/>
      <c r="AA54" s="28"/>
      <c r="AB54" s="28"/>
      <c r="AC54" s="28"/>
      <c r="AD54" s="28"/>
      <c r="AE54" s="28"/>
    </row>
    <row r="55" spans="8:31" ht="12.75">
      <c r="H55" s="31"/>
      <c r="M55" s="28"/>
      <c r="N55" s="28"/>
      <c r="O55" s="28"/>
      <c r="P55" s="28"/>
      <c r="Q55" s="28"/>
      <c r="R55" s="28"/>
      <c r="S55" s="28"/>
      <c r="T55" s="28"/>
      <c r="U55" s="28"/>
      <c r="V55" s="28"/>
      <c r="W55" s="28"/>
      <c r="X55" s="28"/>
      <c r="Y55" s="28"/>
      <c r="Z55" s="28"/>
      <c r="AA55" s="28"/>
      <c r="AB55" s="28"/>
      <c r="AC55" s="28"/>
      <c r="AD55" s="28"/>
      <c r="AE55" s="28"/>
    </row>
    <row r="60" spans="2:25" s="117" customFormat="1" ht="12.75">
      <c r="B60" s="117">
        <v>2</v>
      </c>
      <c r="C60" s="117">
        <v>3</v>
      </c>
      <c r="D60" s="117">
        <v>4</v>
      </c>
      <c r="E60" s="117">
        <v>5</v>
      </c>
      <c r="F60" s="117">
        <v>6</v>
      </c>
      <c r="G60" s="117">
        <v>7</v>
      </c>
      <c r="H60" s="117">
        <v>8</v>
      </c>
      <c r="I60" s="117">
        <v>9</v>
      </c>
      <c r="J60" s="117">
        <v>10</v>
      </c>
      <c r="K60" s="117">
        <v>11</v>
      </c>
      <c r="L60" s="117">
        <v>12</v>
      </c>
      <c r="M60" s="117">
        <v>13</v>
      </c>
      <c r="N60" s="117">
        <v>14</v>
      </c>
      <c r="O60" s="117">
        <v>15</v>
      </c>
      <c r="P60" s="117">
        <v>16</v>
      </c>
      <c r="Q60" s="117">
        <v>17</v>
      </c>
      <c r="R60" s="117">
        <v>18</v>
      </c>
      <c r="S60" s="117">
        <v>19</v>
      </c>
      <c r="T60" s="117">
        <v>20</v>
      </c>
      <c r="U60" s="117">
        <v>21</v>
      </c>
      <c r="V60" s="117">
        <v>22</v>
      </c>
      <c r="W60" s="117">
        <v>23</v>
      </c>
      <c r="X60" s="117">
        <v>24</v>
      </c>
      <c r="Y60" s="117">
        <v>25</v>
      </c>
    </row>
    <row r="61" spans="1:25" ht="12.75">
      <c r="A61" s="141" t="s">
        <v>93</v>
      </c>
      <c r="B61" s="137" t="s">
        <v>262</v>
      </c>
      <c r="C61" s="138" t="s">
        <v>418</v>
      </c>
      <c r="D61" s="138" t="s">
        <v>419</v>
      </c>
      <c r="E61" s="100" t="s">
        <v>420</v>
      </c>
      <c r="F61" s="100" t="s">
        <v>421</v>
      </c>
      <c r="G61" s="100" t="s">
        <v>253</v>
      </c>
      <c r="H61" s="101" t="s">
        <v>158</v>
      </c>
      <c r="I61" s="101" t="s">
        <v>159</v>
      </c>
      <c r="J61" s="101" t="s">
        <v>160</v>
      </c>
      <c r="K61" s="101" t="s">
        <v>161</v>
      </c>
      <c r="L61" s="101" t="s">
        <v>162</v>
      </c>
      <c r="M61" s="101" t="s">
        <v>340</v>
      </c>
      <c r="N61" s="101" t="s">
        <v>168</v>
      </c>
      <c r="O61" s="101" t="s">
        <v>169</v>
      </c>
      <c r="P61" s="101" t="s">
        <v>170</v>
      </c>
      <c r="Q61" s="101" t="s">
        <v>171</v>
      </c>
      <c r="R61" s="101" t="s">
        <v>172</v>
      </c>
      <c r="S61" s="101" t="s">
        <v>173</v>
      </c>
      <c r="T61" s="101" t="s">
        <v>410</v>
      </c>
      <c r="U61" s="101" t="s">
        <v>411</v>
      </c>
      <c r="V61" s="101" t="s">
        <v>412</v>
      </c>
      <c r="W61" s="101" t="s">
        <v>174</v>
      </c>
      <c r="X61" s="102" t="s">
        <v>397</v>
      </c>
      <c r="Y61" s="102" t="s">
        <v>398</v>
      </c>
    </row>
    <row r="62" spans="1:25" ht="12.75">
      <c r="A62" s="103" t="s">
        <v>94</v>
      </c>
      <c r="B62" s="139" t="s">
        <v>100</v>
      </c>
      <c r="C62" s="140" t="s">
        <v>108</v>
      </c>
      <c r="D62" s="140" t="s">
        <v>109</v>
      </c>
      <c r="E62" s="104" t="s">
        <v>101</v>
      </c>
      <c r="F62" s="105" t="s">
        <v>102</v>
      </c>
      <c r="G62" s="105" t="s">
        <v>103</v>
      </c>
      <c r="H62" s="106" t="s">
        <v>104</v>
      </c>
      <c r="I62" s="107" t="s">
        <v>105</v>
      </c>
      <c r="J62" s="107" t="s">
        <v>106</v>
      </c>
      <c r="K62" s="106" t="s">
        <v>107</v>
      </c>
      <c r="L62" s="107" t="s">
        <v>105</v>
      </c>
      <c r="M62" s="107" t="s">
        <v>386</v>
      </c>
      <c r="N62" s="106" t="s">
        <v>341</v>
      </c>
      <c r="O62" s="107" t="s">
        <v>105</v>
      </c>
      <c r="P62" s="107" t="s">
        <v>102</v>
      </c>
      <c r="Q62" s="106" t="s">
        <v>342</v>
      </c>
      <c r="R62" s="107" t="s">
        <v>102</v>
      </c>
      <c r="S62" s="107" t="s">
        <v>343</v>
      </c>
      <c r="T62" s="107" t="s">
        <v>241</v>
      </c>
      <c r="U62" s="107">
        <v>0</v>
      </c>
      <c r="V62" s="107">
        <v>100</v>
      </c>
      <c r="W62" s="106" t="s">
        <v>344</v>
      </c>
      <c r="X62" s="108">
        <v>-60</v>
      </c>
      <c r="Y62" s="108">
        <v>0</v>
      </c>
    </row>
    <row r="63" spans="1:25" ht="12.75">
      <c r="A63" s="103" t="s">
        <v>345</v>
      </c>
      <c r="B63" s="139" t="s">
        <v>346</v>
      </c>
      <c r="C63" s="140" t="s">
        <v>110</v>
      </c>
      <c r="D63" s="140" t="s">
        <v>111</v>
      </c>
      <c r="E63" s="104" t="s">
        <v>101</v>
      </c>
      <c r="F63" s="105" t="s">
        <v>102</v>
      </c>
      <c r="G63" s="105" t="s">
        <v>103</v>
      </c>
      <c r="H63" s="106" t="s">
        <v>104</v>
      </c>
      <c r="I63" s="107" t="s">
        <v>105</v>
      </c>
      <c r="J63" s="107" t="s">
        <v>347</v>
      </c>
      <c r="K63" s="106" t="s">
        <v>348</v>
      </c>
      <c r="L63" s="107" t="s">
        <v>105</v>
      </c>
      <c r="M63" s="107" t="s">
        <v>386</v>
      </c>
      <c r="N63" s="106" t="s">
        <v>341</v>
      </c>
      <c r="O63" s="107" t="s">
        <v>105</v>
      </c>
      <c r="P63" s="107" t="s">
        <v>102</v>
      </c>
      <c r="Q63" s="106" t="s">
        <v>342</v>
      </c>
      <c r="R63" s="107" t="s">
        <v>102</v>
      </c>
      <c r="S63" s="107" t="s">
        <v>343</v>
      </c>
      <c r="T63" s="107" t="s">
        <v>241</v>
      </c>
      <c r="U63" s="107">
        <v>0</v>
      </c>
      <c r="V63" s="107">
        <v>100</v>
      </c>
      <c r="W63" s="106" t="s">
        <v>349</v>
      </c>
      <c r="X63" s="108">
        <v>-60</v>
      </c>
      <c r="Y63" s="108">
        <v>0</v>
      </c>
    </row>
    <row r="64" spans="1:25" ht="12.75">
      <c r="A64" s="103" t="s">
        <v>286</v>
      </c>
      <c r="B64" s="139" t="s">
        <v>287</v>
      </c>
      <c r="C64" s="140" t="s">
        <v>110</v>
      </c>
      <c r="D64" s="140" t="s">
        <v>112</v>
      </c>
      <c r="E64" s="104" t="s">
        <v>288</v>
      </c>
      <c r="F64" s="105" t="s">
        <v>102</v>
      </c>
      <c r="G64" s="105" t="s">
        <v>289</v>
      </c>
      <c r="H64" s="106" t="s">
        <v>104</v>
      </c>
      <c r="I64" s="107" t="s">
        <v>290</v>
      </c>
      <c r="J64" s="107" t="s">
        <v>347</v>
      </c>
      <c r="K64" s="106" t="s">
        <v>348</v>
      </c>
      <c r="L64" s="107" t="s">
        <v>291</v>
      </c>
      <c r="M64" s="107" t="s">
        <v>386</v>
      </c>
      <c r="N64" s="106" t="s">
        <v>292</v>
      </c>
      <c r="O64" s="107" t="s">
        <v>102</v>
      </c>
      <c r="P64" s="107" t="s">
        <v>293</v>
      </c>
      <c r="Q64" s="106" t="s">
        <v>342</v>
      </c>
      <c r="R64" s="107" t="s">
        <v>102</v>
      </c>
      <c r="S64" s="107" t="s">
        <v>343</v>
      </c>
      <c r="T64" s="107" t="s">
        <v>241</v>
      </c>
      <c r="U64" s="107">
        <v>0</v>
      </c>
      <c r="V64" s="107">
        <v>100</v>
      </c>
      <c r="W64" s="106" t="s">
        <v>344</v>
      </c>
      <c r="X64" s="108">
        <v>-60</v>
      </c>
      <c r="Y64" s="108">
        <v>0</v>
      </c>
    </row>
    <row r="65" spans="1:25" ht="12.75">
      <c r="A65" s="103" t="s">
        <v>95</v>
      </c>
      <c r="B65" s="139" t="s">
        <v>294</v>
      </c>
      <c r="C65" s="140" t="s">
        <v>6</v>
      </c>
      <c r="D65" s="140" t="s">
        <v>7</v>
      </c>
      <c r="E65" s="104" t="s">
        <v>101</v>
      </c>
      <c r="F65" s="105" t="s">
        <v>102</v>
      </c>
      <c r="G65" s="105" t="s">
        <v>103</v>
      </c>
      <c r="H65" s="106" t="s">
        <v>104</v>
      </c>
      <c r="I65" s="107" t="s">
        <v>291</v>
      </c>
      <c r="J65" s="107" t="s">
        <v>347</v>
      </c>
      <c r="K65" s="106" t="s">
        <v>348</v>
      </c>
      <c r="L65" s="107" t="s">
        <v>291</v>
      </c>
      <c r="M65" s="107" t="s">
        <v>386</v>
      </c>
      <c r="N65" s="106" t="s">
        <v>341</v>
      </c>
      <c r="O65" s="107" t="s">
        <v>291</v>
      </c>
      <c r="P65" s="107" t="s">
        <v>102</v>
      </c>
      <c r="Q65" s="106" t="s">
        <v>342</v>
      </c>
      <c r="R65" s="107" t="s">
        <v>102</v>
      </c>
      <c r="S65" s="107" t="s">
        <v>343</v>
      </c>
      <c r="T65" s="107" t="s">
        <v>241</v>
      </c>
      <c r="U65" s="107">
        <v>0</v>
      </c>
      <c r="V65" s="107">
        <v>100</v>
      </c>
      <c r="W65" s="106" t="s">
        <v>344</v>
      </c>
      <c r="X65" s="108">
        <v>-60</v>
      </c>
      <c r="Y65" s="108">
        <v>0</v>
      </c>
    </row>
    <row r="66" spans="1:25" ht="12.75">
      <c r="A66" s="103" t="s">
        <v>0</v>
      </c>
      <c r="B66" s="139" t="s">
        <v>180</v>
      </c>
      <c r="C66" s="140" t="s">
        <v>8</v>
      </c>
      <c r="D66" s="140" t="s">
        <v>9</v>
      </c>
      <c r="E66" s="104" t="s">
        <v>182</v>
      </c>
      <c r="F66" s="105" t="s">
        <v>289</v>
      </c>
      <c r="G66" s="105" t="s">
        <v>293</v>
      </c>
      <c r="H66" s="106" t="s">
        <v>104</v>
      </c>
      <c r="I66" s="107" t="s">
        <v>183</v>
      </c>
      <c r="J66" s="107" t="s">
        <v>347</v>
      </c>
      <c r="K66" s="106" t="s">
        <v>320</v>
      </c>
      <c r="L66" s="107" t="s">
        <v>386</v>
      </c>
      <c r="M66" s="107" t="s">
        <v>328</v>
      </c>
      <c r="N66" s="106" t="s">
        <v>329</v>
      </c>
      <c r="O66" s="107" t="s">
        <v>330</v>
      </c>
      <c r="P66" s="107" t="s">
        <v>258</v>
      </c>
      <c r="Q66" s="106" t="s">
        <v>259</v>
      </c>
      <c r="R66" s="107" t="s">
        <v>330</v>
      </c>
      <c r="S66" s="107" t="s">
        <v>260</v>
      </c>
      <c r="T66" s="107" t="s">
        <v>241</v>
      </c>
      <c r="U66" s="107">
        <v>0</v>
      </c>
      <c r="V66" s="107">
        <v>100</v>
      </c>
      <c r="W66" s="106" t="s">
        <v>261</v>
      </c>
      <c r="X66" s="108">
        <v>-30</v>
      </c>
      <c r="Y66" s="108">
        <v>30</v>
      </c>
    </row>
    <row r="67" spans="1:25" ht="12.75">
      <c r="A67" s="103" t="s">
        <v>1</v>
      </c>
      <c r="B67" s="139" t="s">
        <v>324</v>
      </c>
      <c r="C67" s="140" t="s">
        <v>10</v>
      </c>
      <c r="D67" s="140" t="s">
        <v>113</v>
      </c>
      <c r="E67" s="104" t="s">
        <v>288</v>
      </c>
      <c r="F67" s="105" t="s">
        <v>102</v>
      </c>
      <c r="G67" s="105" t="s">
        <v>289</v>
      </c>
      <c r="H67" s="106" t="s">
        <v>104</v>
      </c>
      <c r="I67" s="107" t="s">
        <v>105</v>
      </c>
      <c r="J67" s="107" t="s">
        <v>347</v>
      </c>
      <c r="K67" s="106" t="s">
        <v>348</v>
      </c>
      <c r="L67" s="107" t="s">
        <v>105</v>
      </c>
      <c r="M67" s="107" t="s">
        <v>386</v>
      </c>
      <c r="N67" s="106" t="s">
        <v>292</v>
      </c>
      <c r="O67" s="107" t="s">
        <v>102</v>
      </c>
      <c r="P67" s="107" t="s">
        <v>293</v>
      </c>
      <c r="Q67" s="106" t="s">
        <v>342</v>
      </c>
      <c r="R67" s="107" t="s">
        <v>102</v>
      </c>
      <c r="S67" s="107" t="s">
        <v>343</v>
      </c>
      <c r="T67" s="107" t="s">
        <v>241</v>
      </c>
      <c r="U67" s="107">
        <v>0</v>
      </c>
      <c r="V67" s="107">
        <v>100</v>
      </c>
      <c r="W67" s="106" t="s">
        <v>344</v>
      </c>
      <c r="X67" s="108">
        <v>-60</v>
      </c>
      <c r="Y67" s="108">
        <v>0</v>
      </c>
    </row>
    <row r="68" spans="1:25" ht="12.75">
      <c r="A68" s="103" t="s">
        <v>2</v>
      </c>
      <c r="B68" s="139" t="s">
        <v>325</v>
      </c>
      <c r="C68" s="140" t="s">
        <v>114</v>
      </c>
      <c r="D68" s="140" t="s">
        <v>9</v>
      </c>
      <c r="E68" s="104" t="s">
        <v>101</v>
      </c>
      <c r="F68" s="105" t="s">
        <v>102</v>
      </c>
      <c r="G68" s="105" t="s">
        <v>103</v>
      </c>
      <c r="H68" s="106" t="s">
        <v>104</v>
      </c>
      <c r="I68" s="107" t="s">
        <v>105</v>
      </c>
      <c r="J68" s="107" t="s">
        <v>347</v>
      </c>
      <c r="K68" s="106" t="s">
        <v>348</v>
      </c>
      <c r="L68" s="107" t="s">
        <v>105</v>
      </c>
      <c r="M68" s="107" t="s">
        <v>386</v>
      </c>
      <c r="N68" s="106" t="s">
        <v>341</v>
      </c>
      <c r="O68" s="107" t="s">
        <v>105</v>
      </c>
      <c r="P68" s="107" t="s">
        <v>102</v>
      </c>
      <c r="Q68" s="106" t="s">
        <v>342</v>
      </c>
      <c r="R68" s="107" t="s">
        <v>102</v>
      </c>
      <c r="S68" s="107" t="s">
        <v>343</v>
      </c>
      <c r="T68" s="107" t="s">
        <v>241</v>
      </c>
      <c r="U68" s="107">
        <v>0</v>
      </c>
      <c r="V68" s="107">
        <v>100</v>
      </c>
      <c r="W68" s="106" t="s">
        <v>344</v>
      </c>
      <c r="X68" s="108">
        <v>-60</v>
      </c>
      <c r="Y68" s="108">
        <v>0</v>
      </c>
    </row>
    <row r="69" spans="1:25" ht="12.75">
      <c r="A69" s="103" t="s">
        <v>374</v>
      </c>
      <c r="B69" s="139" t="s">
        <v>375</v>
      </c>
      <c r="C69" s="140" t="s">
        <v>109</v>
      </c>
      <c r="D69" s="140" t="s">
        <v>9</v>
      </c>
      <c r="E69" s="104" t="s">
        <v>288</v>
      </c>
      <c r="F69" s="105" t="s">
        <v>102</v>
      </c>
      <c r="G69" s="105" t="s">
        <v>289</v>
      </c>
      <c r="H69" s="106" t="s">
        <v>104</v>
      </c>
      <c r="I69" s="107" t="s">
        <v>105</v>
      </c>
      <c r="J69" s="107" t="s">
        <v>347</v>
      </c>
      <c r="K69" s="106" t="s">
        <v>348</v>
      </c>
      <c r="L69" s="107" t="s">
        <v>105</v>
      </c>
      <c r="M69" s="107" t="s">
        <v>386</v>
      </c>
      <c r="N69" s="106" t="s">
        <v>292</v>
      </c>
      <c r="O69" s="107" t="s">
        <v>102</v>
      </c>
      <c r="P69" s="107" t="s">
        <v>293</v>
      </c>
      <c r="Q69" s="106" t="s">
        <v>342</v>
      </c>
      <c r="R69" s="107" t="s">
        <v>102</v>
      </c>
      <c r="S69" s="107" t="s">
        <v>343</v>
      </c>
      <c r="T69" s="107" t="s">
        <v>241</v>
      </c>
      <c r="U69" s="107">
        <v>0</v>
      </c>
      <c r="V69" s="107">
        <v>100</v>
      </c>
      <c r="W69" s="106" t="s">
        <v>344</v>
      </c>
      <c r="X69" s="108">
        <v>-60</v>
      </c>
      <c r="Y69" s="108">
        <v>0</v>
      </c>
    </row>
    <row r="70" spans="1:25" ht="12.75">
      <c r="A70" s="103" t="s">
        <v>3</v>
      </c>
      <c r="B70" s="139" t="s">
        <v>376</v>
      </c>
      <c r="C70" s="140" t="s">
        <v>115</v>
      </c>
      <c r="D70" s="140" t="s">
        <v>116</v>
      </c>
      <c r="E70" s="104" t="s">
        <v>288</v>
      </c>
      <c r="F70" s="105" t="s">
        <v>102</v>
      </c>
      <c r="G70" s="105" t="s">
        <v>289</v>
      </c>
      <c r="H70" s="106" t="s">
        <v>104</v>
      </c>
      <c r="I70" s="107" t="s">
        <v>105</v>
      </c>
      <c r="J70" s="107" t="s">
        <v>347</v>
      </c>
      <c r="K70" s="106" t="s">
        <v>377</v>
      </c>
      <c r="L70" s="107" t="s">
        <v>386</v>
      </c>
      <c r="M70" s="107" t="s">
        <v>378</v>
      </c>
      <c r="N70" s="106" t="s">
        <v>379</v>
      </c>
      <c r="O70" s="107" t="s">
        <v>105</v>
      </c>
      <c r="P70" s="107" t="s">
        <v>343</v>
      </c>
      <c r="Q70" s="106" t="s">
        <v>292</v>
      </c>
      <c r="R70" s="107" t="s">
        <v>102</v>
      </c>
      <c r="S70" s="107" t="s">
        <v>293</v>
      </c>
      <c r="T70" s="107" t="s">
        <v>241</v>
      </c>
      <c r="U70" s="107">
        <v>0</v>
      </c>
      <c r="V70" s="107">
        <v>100</v>
      </c>
      <c r="W70" s="106" t="s">
        <v>380</v>
      </c>
      <c r="X70" s="108">
        <v>0</v>
      </c>
      <c r="Y70" s="108">
        <v>60</v>
      </c>
    </row>
    <row r="71" spans="1:25" ht="12.75">
      <c r="A71" s="103" t="s">
        <v>24</v>
      </c>
      <c r="B71" s="139" t="s">
        <v>381</v>
      </c>
      <c r="C71" s="140" t="s">
        <v>117</v>
      </c>
      <c r="D71" s="140" t="s">
        <v>118</v>
      </c>
      <c r="E71" s="104" t="s">
        <v>288</v>
      </c>
      <c r="F71" s="105" t="s">
        <v>102</v>
      </c>
      <c r="G71" s="105" t="s">
        <v>289</v>
      </c>
      <c r="H71" s="106" t="s">
        <v>104</v>
      </c>
      <c r="I71" s="107" t="s">
        <v>105</v>
      </c>
      <c r="J71" s="107" t="s">
        <v>347</v>
      </c>
      <c r="K71" s="106" t="s">
        <v>377</v>
      </c>
      <c r="L71" s="107" t="s">
        <v>386</v>
      </c>
      <c r="M71" s="107" t="s">
        <v>378</v>
      </c>
      <c r="N71" s="106" t="s">
        <v>379</v>
      </c>
      <c r="O71" s="107" t="s">
        <v>105</v>
      </c>
      <c r="P71" s="107" t="s">
        <v>343</v>
      </c>
      <c r="Q71" s="106" t="s">
        <v>292</v>
      </c>
      <c r="R71" s="107" t="s">
        <v>102</v>
      </c>
      <c r="S71" s="107" t="s">
        <v>293</v>
      </c>
      <c r="T71" s="107" t="s">
        <v>241</v>
      </c>
      <c r="U71" s="107">
        <v>0</v>
      </c>
      <c r="V71" s="107">
        <v>100</v>
      </c>
      <c r="W71" s="106" t="s">
        <v>380</v>
      </c>
      <c r="X71" s="108">
        <v>0</v>
      </c>
      <c r="Y71" s="108">
        <v>60</v>
      </c>
    </row>
    <row r="72" spans="1:25" ht="12.75">
      <c r="A72" s="103" t="s">
        <v>382</v>
      </c>
      <c r="B72" s="139" t="s">
        <v>383</v>
      </c>
      <c r="C72" s="140" t="s">
        <v>118</v>
      </c>
      <c r="D72" s="140" t="s">
        <v>119</v>
      </c>
      <c r="E72" s="104" t="s">
        <v>288</v>
      </c>
      <c r="F72" s="105" t="s">
        <v>102</v>
      </c>
      <c r="G72" s="105" t="s">
        <v>289</v>
      </c>
      <c r="H72" s="106" t="s">
        <v>104</v>
      </c>
      <c r="I72" s="107" t="s">
        <v>105</v>
      </c>
      <c r="J72" s="107" t="s">
        <v>347</v>
      </c>
      <c r="K72" s="106" t="s">
        <v>384</v>
      </c>
      <c r="L72" s="107" t="s">
        <v>385</v>
      </c>
      <c r="M72" s="107" t="s">
        <v>378</v>
      </c>
      <c r="N72" s="106" t="s">
        <v>341</v>
      </c>
      <c r="O72" s="107" t="s">
        <v>105</v>
      </c>
      <c r="P72" s="107" t="s">
        <v>102</v>
      </c>
      <c r="Q72" s="106" t="s">
        <v>292</v>
      </c>
      <c r="R72" s="107" t="s">
        <v>102</v>
      </c>
      <c r="S72" s="107" t="s">
        <v>293</v>
      </c>
      <c r="T72" s="107" t="s">
        <v>241</v>
      </c>
      <c r="U72" s="107">
        <v>0</v>
      </c>
      <c r="V72" s="107">
        <v>100</v>
      </c>
      <c r="W72" s="106" t="s">
        <v>320</v>
      </c>
      <c r="X72" s="108">
        <v>40</v>
      </c>
      <c r="Y72" s="108">
        <v>80</v>
      </c>
    </row>
    <row r="73" spans="1:25" ht="12.75">
      <c r="A73" s="103" t="s">
        <v>25</v>
      </c>
      <c r="B73" s="139" t="s">
        <v>249</v>
      </c>
      <c r="C73" s="140" t="s">
        <v>118</v>
      </c>
      <c r="D73" s="140" t="s">
        <v>120</v>
      </c>
      <c r="E73" s="104" t="s">
        <v>288</v>
      </c>
      <c r="F73" s="105" t="s">
        <v>102</v>
      </c>
      <c r="G73" s="105" t="s">
        <v>289</v>
      </c>
      <c r="H73" s="106" t="s">
        <v>104</v>
      </c>
      <c r="I73" s="107" t="s">
        <v>105</v>
      </c>
      <c r="J73" s="107" t="s">
        <v>347</v>
      </c>
      <c r="K73" s="106" t="s">
        <v>384</v>
      </c>
      <c r="L73" s="107" t="s">
        <v>385</v>
      </c>
      <c r="M73" s="107" t="s">
        <v>378</v>
      </c>
      <c r="N73" s="106" t="s">
        <v>341</v>
      </c>
      <c r="O73" s="107" t="s">
        <v>105</v>
      </c>
      <c r="P73" s="107" t="s">
        <v>102</v>
      </c>
      <c r="Q73" s="106" t="s">
        <v>292</v>
      </c>
      <c r="R73" s="107" t="s">
        <v>102</v>
      </c>
      <c r="S73" s="107" t="s">
        <v>293</v>
      </c>
      <c r="T73" s="107" t="s">
        <v>241</v>
      </c>
      <c r="U73" s="107">
        <v>0</v>
      </c>
      <c r="V73" s="107">
        <v>100</v>
      </c>
      <c r="W73" s="106" t="s">
        <v>320</v>
      </c>
      <c r="X73" s="108">
        <v>40</v>
      </c>
      <c r="Y73" s="108">
        <v>80</v>
      </c>
    </row>
    <row r="74" spans="1:25" ht="12.75">
      <c r="A74" s="103" t="s">
        <v>26</v>
      </c>
      <c r="B74" s="139" t="s">
        <v>250</v>
      </c>
      <c r="C74" s="140" t="s">
        <v>121</v>
      </c>
      <c r="D74" s="140" t="s">
        <v>122</v>
      </c>
      <c r="E74" s="104" t="s">
        <v>288</v>
      </c>
      <c r="F74" s="105" t="s">
        <v>102</v>
      </c>
      <c r="G74" s="105" t="s">
        <v>289</v>
      </c>
      <c r="H74" s="106" t="s">
        <v>104</v>
      </c>
      <c r="I74" s="107" t="s">
        <v>105</v>
      </c>
      <c r="J74" s="107" t="s">
        <v>347</v>
      </c>
      <c r="K74" s="106" t="s">
        <v>384</v>
      </c>
      <c r="L74" s="107" t="s">
        <v>385</v>
      </c>
      <c r="M74" s="107" t="s">
        <v>378</v>
      </c>
      <c r="N74" s="106" t="s">
        <v>341</v>
      </c>
      <c r="O74" s="107" t="s">
        <v>105</v>
      </c>
      <c r="P74" s="107" t="s">
        <v>102</v>
      </c>
      <c r="Q74" s="106" t="s">
        <v>292</v>
      </c>
      <c r="R74" s="107" t="s">
        <v>102</v>
      </c>
      <c r="S74" s="107" t="s">
        <v>293</v>
      </c>
      <c r="T74" s="107" t="s">
        <v>241</v>
      </c>
      <c r="U74" s="107">
        <v>0</v>
      </c>
      <c r="V74" s="107">
        <v>100</v>
      </c>
      <c r="W74" s="106" t="s">
        <v>320</v>
      </c>
      <c r="X74" s="108">
        <v>40</v>
      </c>
      <c r="Y74" s="108">
        <v>80</v>
      </c>
    </row>
    <row r="75" spans="1:25" ht="12.75">
      <c r="A75" s="103" t="s">
        <v>139</v>
      </c>
      <c r="B75" s="139" t="s">
        <v>392</v>
      </c>
      <c r="C75" s="140" t="s">
        <v>112</v>
      </c>
      <c r="D75" s="140" t="s">
        <v>123</v>
      </c>
      <c r="E75" s="104" t="s">
        <v>288</v>
      </c>
      <c r="F75" s="105" t="s">
        <v>102</v>
      </c>
      <c r="G75" s="105" t="s">
        <v>289</v>
      </c>
      <c r="H75" s="106" t="s">
        <v>104</v>
      </c>
      <c r="I75" s="107" t="s">
        <v>105</v>
      </c>
      <c r="J75" s="107" t="s">
        <v>347</v>
      </c>
      <c r="K75" s="106" t="s">
        <v>320</v>
      </c>
      <c r="L75" s="107" t="s">
        <v>386</v>
      </c>
      <c r="M75" s="107" t="s">
        <v>385</v>
      </c>
      <c r="N75" s="106" t="s">
        <v>379</v>
      </c>
      <c r="O75" s="107" t="s">
        <v>105</v>
      </c>
      <c r="P75" s="107" t="s">
        <v>343</v>
      </c>
      <c r="Q75" s="106" t="s">
        <v>292</v>
      </c>
      <c r="R75" s="107" t="s">
        <v>102</v>
      </c>
      <c r="S75" s="107" t="s">
        <v>293</v>
      </c>
      <c r="T75" s="107" t="s">
        <v>241</v>
      </c>
      <c r="U75" s="107">
        <v>0</v>
      </c>
      <c r="V75" s="107">
        <v>100</v>
      </c>
      <c r="W75" s="106" t="s">
        <v>380</v>
      </c>
      <c r="X75" s="108">
        <v>0</v>
      </c>
      <c r="Y75" s="108">
        <v>60</v>
      </c>
    </row>
    <row r="76" spans="1:25" ht="12.75">
      <c r="A76" s="103" t="s">
        <v>140</v>
      </c>
      <c r="B76" s="139" t="s">
        <v>383</v>
      </c>
      <c r="C76" s="140" t="s">
        <v>124</v>
      </c>
      <c r="D76" s="140" t="s">
        <v>125</v>
      </c>
      <c r="E76" s="104" t="s">
        <v>288</v>
      </c>
      <c r="F76" s="105" t="s">
        <v>102</v>
      </c>
      <c r="G76" s="105" t="s">
        <v>289</v>
      </c>
      <c r="H76" s="106" t="s">
        <v>104</v>
      </c>
      <c r="I76" s="107" t="s">
        <v>105</v>
      </c>
      <c r="J76" s="107" t="s">
        <v>347</v>
      </c>
      <c r="K76" s="106" t="s">
        <v>320</v>
      </c>
      <c r="L76" s="107" t="s">
        <v>386</v>
      </c>
      <c r="M76" s="107" t="s">
        <v>385</v>
      </c>
      <c r="N76" s="106" t="s">
        <v>379</v>
      </c>
      <c r="O76" s="107" t="s">
        <v>105</v>
      </c>
      <c r="P76" s="107" t="s">
        <v>343</v>
      </c>
      <c r="Q76" s="106" t="s">
        <v>292</v>
      </c>
      <c r="R76" s="107" t="s">
        <v>102</v>
      </c>
      <c r="S76" s="107" t="s">
        <v>293</v>
      </c>
      <c r="T76" s="107" t="s">
        <v>241</v>
      </c>
      <c r="U76" s="107">
        <v>0</v>
      </c>
      <c r="V76" s="107">
        <v>100</v>
      </c>
      <c r="W76" s="106" t="s">
        <v>380</v>
      </c>
      <c r="X76" s="108">
        <v>0</v>
      </c>
      <c r="Y76" s="108">
        <v>60</v>
      </c>
    </row>
    <row r="77" spans="1:25" ht="12.75">
      <c r="A77" s="103" t="s">
        <v>141</v>
      </c>
      <c r="B77" s="139" t="s">
        <v>393</v>
      </c>
      <c r="C77" s="140" t="s">
        <v>112</v>
      </c>
      <c r="D77" s="140" t="s">
        <v>126</v>
      </c>
      <c r="E77" s="104" t="s">
        <v>342</v>
      </c>
      <c r="F77" s="105" t="s">
        <v>102</v>
      </c>
      <c r="G77" s="105" t="s">
        <v>343</v>
      </c>
      <c r="H77" s="106" t="s">
        <v>104</v>
      </c>
      <c r="I77" s="107" t="s">
        <v>105</v>
      </c>
      <c r="J77" s="107" t="s">
        <v>347</v>
      </c>
      <c r="K77" s="106" t="s">
        <v>394</v>
      </c>
      <c r="L77" s="107" t="s">
        <v>385</v>
      </c>
      <c r="M77" s="107" t="s">
        <v>293</v>
      </c>
      <c r="N77" s="106" t="s">
        <v>379</v>
      </c>
      <c r="O77" s="107" t="s">
        <v>105</v>
      </c>
      <c r="P77" s="107" t="s">
        <v>343</v>
      </c>
      <c r="Q77" s="106" t="s">
        <v>342</v>
      </c>
      <c r="R77" s="107" t="s">
        <v>102</v>
      </c>
      <c r="S77" s="107" t="s">
        <v>343</v>
      </c>
      <c r="T77" s="107" t="s">
        <v>241</v>
      </c>
      <c r="U77" s="107">
        <v>0</v>
      </c>
      <c r="V77" s="107">
        <v>100</v>
      </c>
      <c r="W77" s="106" t="s">
        <v>395</v>
      </c>
      <c r="X77" s="108">
        <v>60</v>
      </c>
      <c r="Y77" s="108">
        <v>120</v>
      </c>
    </row>
    <row r="78" spans="1:25" ht="12.75">
      <c r="A78" s="103" t="s">
        <v>142</v>
      </c>
      <c r="B78" s="139" t="s">
        <v>396</v>
      </c>
      <c r="C78" s="140" t="s">
        <v>127</v>
      </c>
      <c r="D78" s="140" t="s">
        <v>122</v>
      </c>
      <c r="E78" s="104" t="s">
        <v>342</v>
      </c>
      <c r="F78" s="105" t="s">
        <v>102</v>
      </c>
      <c r="G78" s="105" t="s">
        <v>343</v>
      </c>
      <c r="H78" s="106" t="s">
        <v>104</v>
      </c>
      <c r="I78" s="107" t="s">
        <v>105</v>
      </c>
      <c r="J78" s="107" t="s">
        <v>347</v>
      </c>
      <c r="K78" s="106" t="s">
        <v>394</v>
      </c>
      <c r="L78" s="107" t="s">
        <v>385</v>
      </c>
      <c r="M78" s="107" t="s">
        <v>293</v>
      </c>
      <c r="N78" s="106" t="s">
        <v>379</v>
      </c>
      <c r="O78" s="107" t="s">
        <v>105</v>
      </c>
      <c r="P78" s="107" t="s">
        <v>343</v>
      </c>
      <c r="Q78" s="106" t="s">
        <v>342</v>
      </c>
      <c r="R78" s="107" t="s">
        <v>102</v>
      </c>
      <c r="S78" s="107" t="s">
        <v>343</v>
      </c>
      <c r="T78" s="107" t="s">
        <v>241</v>
      </c>
      <c r="U78" s="107">
        <v>0</v>
      </c>
      <c r="V78" s="107">
        <v>100</v>
      </c>
      <c r="W78" s="106" t="s">
        <v>395</v>
      </c>
      <c r="X78" s="108">
        <v>60</v>
      </c>
      <c r="Y78" s="108">
        <v>120</v>
      </c>
    </row>
    <row r="79" spans="1:25" ht="12.75">
      <c r="A79" s="103" t="s">
        <v>143</v>
      </c>
      <c r="B79" s="139" t="s">
        <v>191</v>
      </c>
      <c r="C79" s="140" t="s">
        <v>299</v>
      </c>
      <c r="D79" s="140" t="s">
        <v>300</v>
      </c>
      <c r="E79" s="104" t="s">
        <v>342</v>
      </c>
      <c r="F79" s="105" t="s">
        <v>102</v>
      </c>
      <c r="G79" s="105" t="s">
        <v>343</v>
      </c>
      <c r="H79" s="106" t="s">
        <v>104</v>
      </c>
      <c r="I79" s="107" t="s">
        <v>105</v>
      </c>
      <c r="J79" s="107" t="s">
        <v>347</v>
      </c>
      <c r="K79" s="106" t="s">
        <v>192</v>
      </c>
      <c r="L79" s="107" t="s">
        <v>105</v>
      </c>
      <c r="M79" s="107" t="s">
        <v>385</v>
      </c>
      <c r="N79" s="106" t="s">
        <v>341</v>
      </c>
      <c r="O79" s="107" t="s">
        <v>105</v>
      </c>
      <c r="P79" s="107" t="s">
        <v>102</v>
      </c>
      <c r="Q79" s="106" t="s">
        <v>379</v>
      </c>
      <c r="R79" s="107" t="s">
        <v>105</v>
      </c>
      <c r="S79" s="107" t="s">
        <v>343</v>
      </c>
      <c r="T79" s="107" t="s">
        <v>241</v>
      </c>
      <c r="U79" s="107">
        <v>0</v>
      </c>
      <c r="V79" s="107">
        <v>100</v>
      </c>
      <c r="W79" s="106" t="s">
        <v>193</v>
      </c>
      <c r="X79" s="108">
        <v>-30</v>
      </c>
      <c r="Y79" s="108">
        <v>0</v>
      </c>
    </row>
    <row r="80" spans="1:25" ht="12.75">
      <c r="A80" s="103" t="s">
        <v>144</v>
      </c>
      <c r="B80" s="139" t="s">
        <v>375</v>
      </c>
      <c r="C80" s="140" t="s">
        <v>301</v>
      </c>
      <c r="D80" s="140" t="s">
        <v>181</v>
      </c>
      <c r="E80" s="104" t="s">
        <v>342</v>
      </c>
      <c r="F80" s="105" t="s">
        <v>102</v>
      </c>
      <c r="G80" s="105" t="s">
        <v>343</v>
      </c>
      <c r="H80" s="106" t="s">
        <v>104</v>
      </c>
      <c r="I80" s="107" t="s">
        <v>105</v>
      </c>
      <c r="J80" s="107" t="s">
        <v>347</v>
      </c>
      <c r="K80" s="106" t="s">
        <v>192</v>
      </c>
      <c r="L80" s="107" t="s">
        <v>105</v>
      </c>
      <c r="M80" s="107" t="s">
        <v>385</v>
      </c>
      <c r="N80" s="106" t="s">
        <v>194</v>
      </c>
      <c r="O80" s="107" t="s">
        <v>343</v>
      </c>
      <c r="P80" s="107" t="s">
        <v>195</v>
      </c>
      <c r="Q80" s="106" t="s">
        <v>342</v>
      </c>
      <c r="R80" s="107" t="s">
        <v>102</v>
      </c>
      <c r="S80" s="107" t="s">
        <v>343</v>
      </c>
      <c r="T80" s="107" t="s">
        <v>241</v>
      </c>
      <c r="U80" s="107">
        <v>0</v>
      </c>
      <c r="V80" s="107">
        <v>100</v>
      </c>
      <c r="W80" s="106" t="s">
        <v>344</v>
      </c>
      <c r="X80" s="108">
        <v>-60</v>
      </c>
      <c r="Y80" s="108">
        <v>0</v>
      </c>
    </row>
    <row r="81" spans="1:25" ht="12.75">
      <c r="A81" s="103" t="s">
        <v>145</v>
      </c>
      <c r="B81" s="139" t="s">
        <v>196</v>
      </c>
      <c r="C81" s="140" t="s">
        <v>114</v>
      </c>
      <c r="D81" s="140" t="s">
        <v>300</v>
      </c>
      <c r="E81" s="104" t="s">
        <v>342</v>
      </c>
      <c r="F81" s="105" t="s">
        <v>102</v>
      </c>
      <c r="G81" s="105" t="s">
        <v>343</v>
      </c>
      <c r="H81" s="106" t="s">
        <v>104</v>
      </c>
      <c r="I81" s="107" t="s">
        <v>105</v>
      </c>
      <c r="J81" s="107" t="s">
        <v>347</v>
      </c>
      <c r="K81" s="106" t="s">
        <v>192</v>
      </c>
      <c r="L81" s="107" t="s">
        <v>105</v>
      </c>
      <c r="M81" s="107" t="s">
        <v>385</v>
      </c>
      <c r="N81" s="106" t="s">
        <v>341</v>
      </c>
      <c r="O81" s="107" t="s">
        <v>105</v>
      </c>
      <c r="P81" s="107" t="s">
        <v>102</v>
      </c>
      <c r="Q81" s="106" t="s">
        <v>379</v>
      </c>
      <c r="R81" s="107" t="s">
        <v>105</v>
      </c>
      <c r="S81" s="107" t="s">
        <v>343</v>
      </c>
      <c r="T81" s="107" t="s">
        <v>241</v>
      </c>
      <c r="U81" s="107">
        <v>0</v>
      </c>
      <c r="V81" s="107">
        <v>100</v>
      </c>
      <c r="W81" s="106" t="s">
        <v>193</v>
      </c>
      <c r="X81" s="108">
        <v>-30</v>
      </c>
      <c r="Y81" s="108">
        <v>0</v>
      </c>
    </row>
    <row r="82" spans="1:25" ht="12.75">
      <c r="A82" s="103" t="s">
        <v>197</v>
      </c>
      <c r="B82" s="139" t="s">
        <v>375</v>
      </c>
      <c r="C82" s="140" t="s">
        <v>301</v>
      </c>
      <c r="D82" s="140" t="s">
        <v>181</v>
      </c>
      <c r="E82" s="104" t="s">
        <v>342</v>
      </c>
      <c r="F82" s="105" t="s">
        <v>102</v>
      </c>
      <c r="G82" s="105" t="s">
        <v>343</v>
      </c>
      <c r="H82" s="106" t="s">
        <v>104</v>
      </c>
      <c r="I82" s="107" t="s">
        <v>105</v>
      </c>
      <c r="J82" s="107" t="s">
        <v>347</v>
      </c>
      <c r="K82" s="106" t="s">
        <v>192</v>
      </c>
      <c r="L82" s="107" t="s">
        <v>105</v>
      </c>
      <c r="M82" s="107" t="s">
        <v>385</v>
      </c>
      <c r="N82" s="106" t="s">
        <v>194</v>
      </c>
      <c r="O82" s="107" t="s">
        <v>343</v>
      </c>
      <c r="P82" s="107" t="s">
        <v>195</v>
      </c>
      <c r="Q82" s="106" t="s">
        <v>342</v>
      </c>
      <c r="R82" s="107" t="s">
        <v>102</v>
      </c>
      <c r="S82" s="107" t="s">
        <v>343</v>
      </c>
      <c r="T82" s="107" t="s">
        <v>241</v>
      </c>
      <c r="U82" s="107">
        <v>0</v>
      </c>
      <c r="V82" s="107">
        <v>100</v>
      </c>
      <c r="W82" s="106" t="s">
        <v>344</v>
      </c>
      <c r="X82" s="108">
        <v>-60</v>
      </c>
      <c r="Y82" s="108">
        <v>0</v>
      </c>
    </row>
    <row r="83" spans="1:25" ht="12.75">
      <c r="A83" s="103" t="s">
        <v>4</v>
      </c>
      <c r="B83" s="139" t="s">
        <v>225</v>
      </c>
      <c r="C83" s="140" t="s">
        <v>302</v>
      </c>
      <c r="D83" s="140" t="s">
        <v>303</v>
      </c>
      <c r="E83" s="104" t="s">
        <v>292</v>
      </c>
      <c r="F83" s="105" t="s">
        <v>102</v>
      </c>
      <c r="G83" s="105" t="s">
        <v>293</v>
      </c>
      <c r="H83" s="106" t="s">
        <v>104</v>
      </c>
      <c r="I83" s="107" t="s">
        <v>105</v>
      </c>
      <c r="J83" s="107" t="s">
        <v>347</v>
      </c>
      <c r="K83" s="106" t="s">
        <v>377</v>
      </c>
      <c r="L83" s="107" t="s">
        <v>386</v>
      </c>
      <c r="M83" s="107" t="s">
        <v>378</v>
      </c>
      <c r="N83" s="106" t="s">
        <v>151</v>
      </c>
      <c r="O83" s="107" t="s">
        <v>343</v>
      </c>
      <c r="P83" s="107" t="s">
        <v>152</v>
      </c>
      <c r="Q83" s="106" t="s">
        <v>342</v>
      </c>
      <c r="R83" s="107" t="s">
        <v>102</v>
      </c>
      <c r="S83" s="107" t="s">
        <v>343</v>
      </c>
      <c r="T83" s="107" t="s">
        <v>241</v>
      </c>
      <c r="U83" s="107">
        <v>0</v>
      </c>
      <c r="V83" s="107">
        <v>100</v>
      </c>
      <c r="W83" s="106" t="s">
        <v>380</v>
      </c>
      <c r="X83" s="108">
        <v>0</v>
      </c>
      <c r="Y83" s="108">
        <v>60</v>
      </c>
    </row>
    <row r="84" spans="1:25" ht="12.75">
      <c r="A84" s="103" t="s">
        <v>13</v>
      </c>
      <c r="B84" s="139" t="s">
        <v>21</v>
      </c>
      <c r="C84" s="140" t="s">
        <v>304</v>
      </c>
      <c r="D84" s="140" t="s">
        <v>305</v>
      </c>
      <c r="E84" s="104" t="s">
        <v>292</v>
      </c>
      <c r="F84" s="105" t="s">
        <v>102</v>
      </c>
      <c r="G84" s="105" t="s">
        <v>293</v>
      </c>
      <c r="H84" s="106" t="s">
        <v>104</v>
      </c>
      <c r="I84" s="107" t="s">
        <v>105</v>
      </c>
      <c r="J84" s="107" t="s">
        <v>347</v>
      </c>
      <c r="K84" s="106" t="s">
        <v>377</v>
      </c>
      <c r="L84" s="107" t="s">
        <v>386</v>
      </c>
      <c r="M84" s="107" t="s">
        <v>378</v>
      </c>
      <c r="N84" s="106" t="s">
        <v>151</v>
      </c>
      <c r="O84" s="107" t="s">
        <v>343</v>
      </c>
      <c r="P84" s="107" t="s">
        <v>152</v>
      </c>
      <c r="Q84" s="106" t="s">
        <v>342</v>
      </c>
      <c r="R84" s="107" t="s">
        <v>102</v>
      </c>
      <c r="S84" s="107" t="s">
        <v>343</v>
      </c>
      <c r="T84" s="107" t="s">
        <v>241</v>
      </c>
      <c r="U84" s="107">
        <v>0</v>
      </c>
      <c r="V84" s="107">
        <v>100</v>
      </c>
      <c r="W84" s="106" t="s">
        <v>380</v>
      </c>
      <c r="X84" s="108">
        <v>0</v>
      </c>
      <c r="Y84" s="108">
        <v>60</v>
      </c>
    </row>
    <row r="85" spans="1:25" ht="12.75">
      <c r="A85" s="103" t="s">
        <v>218</v>
      </c>
      <c r="B85" s="139" t="s">
        <v>367</v>
      </c>
      <c r="C85" s="140" t="s">
        <v>306</v>
      </c>
      <c r="D85" s="140" t="s">
        <v>130</v>
      </c>
      <c r="E85" s="104" t="s">
        <v>292</v>
      </c>
      <c r="F85" s="105" t="s">
        <v>102</v>
      </c>
      <c r="G85" s="105" t="s">
        <v>293</v>
      </c>
      <c r="H85" s="106" t="s">
        <v>104</v>
      </c>
      <c r="I85" s="107" t="s">
        <v>105</v>
      </c>
      <c r="J85" s="107" t="s">
        <v>347</v>
      </c>
      <c r="K85" s="106" t="s">
        <v>377</v>
      </c>
      <c r="L85" s="107" t="s">
        <v>386</v>
      </c>
      <c r="M85" s="107" t="s">
        <v>378</v>
      </c>
      <c r="N85" s="106" t="s">
        <v>151</v>
      </c>
      <c r="O85" s="107" t="s">
        <v>343</v>
      </c>
      <c r="P85" s="107" t="s">
        <v>152</v>
      </c>
      <c r="Q85" s="106" t="s">
        <v>342</v>
      </c>
      <c r="R85" s="107" t="s">
        <v>102</v>
      </c>
      <c r="S85" s="107" t="s">
        <v>343</v>
      </c>
      <c r="T85" s="107" t="s">
        <v>241</v>
      </c>
      <c r="U85" s="107">
        <v>0</v>
      </c>
      <c r="V85" s="107">
        <v>100</v>
      </c>
      <c r="W85" s="106" t="s">
        <v>380</v>
      </c>
      <c r="X85" s="108">
        <v>0</v>
      </c>
      <c r="Y85" s="108">
        <v>60</v>
      </c>
    </row>
    <row r="86" spans="1:25" ht="12.75">
      <c r="A86" s="103" t="s">
        <v>42</v>
      </c>
      <c r="B86" s="139" t="s">
        <v>368</v>
      </c>
      <c r="C86" s="140" t="s">
        <v>111</v>
      </c>
      <c r="D86" s="140" t="s">
        <v>118</v>
      </c>
      <c r="E86" s="104" t="s">
        <v>342</v>
      </c>
      <c r="F86" s="105" t="s">
        <v>102</v>
      </c>
      <c r="G86" s="105" t="s">
        <v>343</v>
      </c>
      <c r="H86" s="106" t="s">
        <v>104</v>
      </c>
      <c r="I86" s="107" t="s">
        <v>105</v>
      </c>
      <c r="J86" s="107" t="s">
        <v>347</v>
      </c>
      <c r="K86" s="106" t="s">
        <v>192</v>
      </c>
      <c r="L86" s="107" t="s">
        <v>105</v>
      </c>
      <c r="M86" s="107" t="s">
        <v>385</v>
      </c>
      <c r="N86" s="106" t="s">
        <v>194</v>
      </c>
      <c r="O86" s="107" t="s">
        <v>343</v>
      </c>
      <c r="P86" s="107" t="s">
        <v>195</v>
      </c>
      <c r="Q86" s="106" t="s">
        <v>342</v>
      </c>
      <c r="R86" s="107" t="s">
        <v>102</v>
      </c>
      <c r="S86" s="107" t="s">
        <v>343</v>
      </c>
      <c r="T86" s="107" t="s">
        <v>241</v>
      </c>
      <c r="U86" s="107">
        <v>0</v>
      </c>
      <c r="V86" s="107">
        <v>100</v>
      </c>
      <c r="W86" s="106" t="s">
        <v>344</v>
      </c>
      <c r="X86" s="108">
        <v>-60</v>
      </c>
      <c r="Y86" s="108">
        <v>0</v>
      </c>
    </row>
    <row r="87" spans="1:25" ht="12.75">
      <c r="A87" s="103" t="s">
        <v>43</v>
      </c>
      <c r="B87" s="139" t="s">
        <v>243</v>
      </c>
      <c r="C87" s="140" t="s">
        <v>7</v>
      </c>
      <c r="D87" s="140" t="s">
        <v>116</v>
      </c>
      <c r="E87" s="104" t="s">
        <v>292</v>
      </c>
      <c r="F87" s="105" t="s">
        <v>102</v>
      </c>
      <c r="G87" s="105" t="s">
        <v>293</v>
      </c>
      <c r="H87" s="106" t="s">
        <v>104</v>
      </c>
      <c r="I87" s="107" t="s">
        <v>105</v>
      </c>
      <c r="J87" s="107" t="s">
        <v>347</v>
      </c>
      <c r="K87" s="106" t="s">
        <v>377</v>
      </c>
      <c r="L87" s="107" t="s">
        <v>386</v>
      </c>
      <c r="M87" s="107" t="s">
        <v>378</v>
      </c>
      <c r="N87" s="106" t="s">
        <v>194</v>
      </c>
      <c r="O87" s="107" t="s">
        <v>343</v>
      </c>
      <c r="P87" s="107" t="s">
        <v>195</v>
      </c>
      <c r="Q87" s="106" t="s">
        <v>342</v>
      </c>
      <c r="R87" s="107" t="s">
        <v>102</v>
      </c>
      <c r="S87" s="107" t="s">
        <v>343</v>
      </c>
      <c r="T87" s="107" t="s">
        <v>241</v>
      </c>
      <c r="U87" s="107">
        <v>0</v>
      </c>
      <c r="V87" s="107">
        <v>100</v>
      </c>
      <c r="W87" s="106" t="s">
        <v>380</v>
      </c>
      <c r="X87" s="108">
        <v>0</v>
      </c>
      <c r="Y87" s="108">
        <v>60</v>
      </c>
    </row>
    <row r="88" spans="1:25" ht="12.75">
      <c r="A88" s="103" t="s">
        <v>44</v>
      </c>
      <c r="B88" s="139" t="s">
        <v>244</v>
      </c>
      <c r="C88" s="140" t="s">
        <v>112</v>
      </c>
      <c r="D88" s="140" t="s">
        <v>127</v>
      </c>
      <c r="E88" s="104" t="s">
        <v>292</v>
      </c>
      <c r="F88" s="105" t="s">
        <v>102</v>
      </c>
      <c r="G88" s="105" t="s">
        <v>293</v>
      </c>
      <c r="H88" s="106" t="s">
        <v>104</v>
      </c>
      <c r="I88" s="107" t="s">
        <v>105</v>
      </c>
      <c r="J88" s="107" t="s">
        <v>347</v>
      </c>
      <c r="K88" s="106" t="s">
        <v>377</v>
      </c>
      <c r="L88" s="107" t="s">
        <v>386</v>
      </c>
      <c r="M88" s="107" t="s">
        <v>378</v>
      </c>
      <c r="N88" s="106" t="s">
        <v>151</v>
      </c>
      <c r="O88" s="107" t="s">
        <v>343</v>
      </c>
      <c r="P88" s="107" t="s">
        <v>152</v>
      </c>
      <c r="Q88" s="106" t="s">
        <v>342</v>
      </c>
      <c r="R88" s="107" t="s">
        <v>102</v>
      </c>
      <c r="S88" s="107" t="s">
        <v>343</v>
      </c>
      <c r="T88" s="107" t="s">
        <v>241</v>
      </c>
      <c r="U88" s="107">
        <v>0</v>
      </c>
      <c r="V88" s="107">
        <v>100</v>
      </c>
      <c r="W88" s="106" t="s">
        <v>380</v>
      </c>
      <c r="X88" s="108">
        <v>0</v>
      </c>
      <c r="Y88" s="108">
        <v>60</v>
      </c>
    </row>
    <row r="89" spans="1:25" ht="12.75">
      <c r="A89" s="103" t="s">
        <v>45</v>
      </c>
      <c r="B89" s="139" t="s">
        <v>322</v>
      </c>
      <c r="C89" s="140" t="s">
        <v>131</v>
      </c>
      <c r="D89" s="140" t="s">
        <v>132</v>
      </c>
      <c r="E89" s="104" t="s">
        <v>292</v>
      </c>
      <c r="F89" s="105" t="s">
        <v>102</v>
      </c>
      <c r="G89" s="105" t="s">
        <v>293</v>
      </c>
      <c r="H89" s="106" t="s">
        <v>104</v>
      </c>
      <c r="I89" s="107" t="s">
        <v>105</v>
      </c>
      <c r="J89" s="107" t="s">
        <v>347</v>
      </c>
      <c r="K89" s="106" t="s">
        <v>377</v>
      </c>
      <c r="L89" s="107" t="s">
        <v>386</v>
      </c>
      <c r="M89" s="107" t="s">
        <v>378</v>
      </c>
      <c r="N89" s="106" t="s">
        <v>194</v>
      </c>
      <c r="O89" s="107" t="s">
        <v>343</v>
      </c>
      <c r="P89" s="107" t="s">
        <v>195</v>
      </c>
      <c r="Q89" s="106" t="s">
        <v>342</v>
      </c>
      <c r="R89" s="107" t="s">
        <v>102</v>
      </c>
      <c r="S89" s="107" t="s">
        <v>343</v>
      </c>
      <c r="T89" s="107" t="s">
        <v>241</v>
      </c>
      <c r="U89" s="107">
        <v>0</v>
      </c>
      <c r="V89" s="107">
        <v>100</v>
      </c>
      <c r="W89" s="106" t="s">
        <v>380</v>
      </c>
      <c r="X89" s="108">
        <v>0</v>
      </c>
      <c r="Y89" s="108">
        <v>60</v>
      </c>
    </row>
    <row r="90" spans="1:25" ht="12.75">
      <c r="A90" s="103" t="s">
        <v>46</v>
      </c>
      <c r="B90" s="139" t="s">
        <v>322</v>
      </c>
      <c r="C90" s="140" t="s">
        <v>131</v>
      </c>
      <c r="D90" s="140" t="s">
        <v>132</v>
      </c>
      <c r="E90" s="104" t="s">
        <v>292</v>
      </c>
      <c r="F90" s="105" t="s">
        <v>102</v>
      </c>
      <c r="G90" s="105" t="s">
        <v>293</v>
      </c>
      <c r="H90" s="106" t="s">
        <v>104</v>
      </c>
      <c r="I90" s="107" t="s">
        <v>105</v>
      </c>
      <c r="J90" s="107" t="s">
        <v>347</v>
      </c>
      <c r="K90" s="106" t="s">
        <v>377</v>
      </c>
      <c r="L90" s="107" t="s">
        <v>386</v>
      </c>
      <c r="M90" s="107" t="s">
        <v>378</v>
      </c>
      <c r="N90" s="106" t="s">
        <v>194</v>
      </c>
      <c r="O90" s="107" t="s">
        <v>343</v>
      </c>
      <c r="P90" s="107" t="s">
        <v>195</v>
      </c>
      <c r="Q90" s="106" t="s">
        <v>342</v>
      </c>
      <c r="R90" s="107" t="s">
        <v>102</v>
      </c>
      <c r="S90" s="107" t="s">
        <v>343</v>
      </c>
      <c r="T90" s="107" t="s">
        <v>241</v>
      </c>
      <c r="U90" s="107">
        <v>0</v>
      </c>
      <c r="V90" s="107">
        <v>100</v>
      </c>
      <c r="W90" s="106" t="s">
        <v>380</v>
      </c>
      <c r="X90" s="108">
        <v>0</v>
      </c>
      <c r="Y90" s="108">
        <v>60</v>
      </c>
    </row>
    <row r="91" spans="1:25" ht="12.75">
      <c r="A91" s="103" t="s">
        <v>47</v>
      </c>
      <c r="B91" s="139" t="s">
        <v>322</v>
      </c>
      <c r="C91" s="140" t="s">
        <v>131</v>
      </c>
      <c r="D91" s="140" t="s">
        <v>132</v>
      </c>
      <c r="E91" s="104" t="s">
        <v>292</v>
      </c>
      <c r="F91" s="105" t="s">
        <v>102</v>
      </c>
      <c r="G91" s="105" t="s">
        <v>293</v>
      </c>
      <c r="H91" s="106" t="s">
        <v>104</v>
      </c>
      <c r="I91" s="107" t="s">
        <v>105</v>
      </c>
      <c r="J91" s="107" t="s">
        <v>347</v>
      </c>
      <c r="K91" s="106" t="s">
        <v>377</v>
      </c>
      <c r="L91" s="107" t="s">
        <v>386</v>
      </c>
      <c r="M91" s="107" t="s">
        <v>378</v>
      </c>
      <c r="N91" s="106" t="s">
        <v>194</v>
      </c>
      <c r="O91" s="107" t="s">
        <v>343</v>
      </c>
      <c r="P91" s="107" t="s">
        <v>195</v>
      </c>
      <c r="Q91" s="106" t="s">
        <v>342</v>
      </c>
      <c r="R91" s="107" t="s">
        <v>102</v>
      </c>
      <c r="S91" s="107" t="s">
        <v>343</v>
      </c>
      <c r="T91" s="107" t="s">
        <v>241</v>
      </c>
      <c r="U91" s="107">
        <v>0</v>
      </c>
      <c r="V91" s="107">
        <v>100</v>
      </c>
      <c r="W91" s="106" t="s">
        <v>380</v>
      </c>
      <c r="X91" s="108">
        <v>0</v>
      </c>
      <c r="Y91" s="108">
        <v>60</v>
      </c>
    </row>
    <row r="92" spans="1:25" ht="12.75">
      <c r="A92" s="103" t="s">
        <v>40</v>
      </c>
      <c r="B92" s="139" t="s">
        <v>323</v>
      </c>
      <c r="C92" s="140" t="s">
        <v>131</v>
      </c>
      <c r="D92" s="140" t="s">
        <v>133</v>
      </c>
      <c r="E92" s="104" t="s">
        <v>292</v>
      </c>
      <c r="F92" s="105" t="s">
        <v>102</v>
      </c>
      <c r="G92" s="105" t="s">
        <v>293</v>
      </c>
      <c r="H92" s="106" t="s">
        <v>104</v>
      </c>
      <c r="I92" s="107" t="s">
        <v>105</v>
      </c>
      <c r="J92" s="107" t="s">
        <v>347</v>
      </c>
      <c r="K92" s="106" t="s">
        <v>377</v>
      </c>
      <c r="L92" s="107" t="s">
        <v>386</v>
      </c>
      <c r="M92" s="107" t="s">
        <v>378</v>
      </c>
      <c r="N92" s="106" t="s">
        <v>151</v>
      </c>
      <c r="O92" s="107" t="s">
        <v>343</v>
      </c>
      <c r="P92" s="107" t="s">
        <v>152</v>
      </c>
      <c r="Q92" s="106" t="s">
        <v>342</v>
      </c>
      <c r="R92" s="107" t="s">
        <v>102</v>
      </c>
      <c r="S92" s="107" t="s">
        <v>343</v>
      </c>
      <c r="T92" s="107" t="s">
        <v>241</v>
      </c>
      <c r="U92" s="107">
        <v>0</v>
      </c>
      <c r="V92" s="107">
        <v>100</v>
      </c>
      <c r="W92" s="106" t="s">
        <v>380</v>
      </c>
      <c r="X92" s="108">
        <v>0</v>
      </c>
      <c r="Y92" s="108">
        <v>60</v>
      </c>
    </row>
    <row r="93" spans="1:25" ht="12.75">
      <c r="A93" s="103" t="s">
        <v>41</v>
      </c>
      <c r="B93" s="139" t="s">
        <v>199</v>
      </c>
      <c r="C93" s="140" t="s">
        <v>118</v>
      </c>
      <c r="D93" s="140" t="s">
        <v>134</v>
      </c>
      <c r="E93" s="104" t="s">
        <v>342</v>
      </c>
      <c r="F93" s="105" t="s">
        <v>102</v>
      </c>
      <c r="G93" s="105" t="s">
        <v>343</v>
      </c>
      <c r="H93" s="106" t="s">
        <v>104</v>
      </c>
      <c r="I93" s="107" t="s">
        <v>105</v>
      </c>
      <c r="J93" s="107" t="s">
        <v>347</v>
      </c>
      <c r="K93" s="106" t="s">
        <v>377</v>
      </c>
      <c r="L93" s="107" t="s">
        <v>386</v>
      </c>
      <c r="M93" s="107" t="s">
        <v>378</v>
      </c>
      <c r="N93" s="106" t="s">
        <v>342</v>
      </c>
      <c r="O93" s="107" t="s">
        <v>102</v>
      </c>
      <c r="P93" s="107" t="s">
        <v>343</v>
      </c>
      <c r="Q93" s="106" t="s">
        <v>292</v>
      </c>
      <c r="R93" s="107" t="s">
        <v>102</v>
      </c>
      <c r="S93" s="107" t="s">
        <v>293</v>
      </c>
      <c r="T93" s="107" t="s">
        <v>241</v>
      </c>
      <c r="U93" s="107">
        <v>0</v>
      </c>
      <c r="V93" s="107">
        <v>100</v>
      </c>
      <c r="W93" s="106" t="s">
        <v>380</v>
      </c>
      <c r="X93" s="108">
        <v>0</v>
      </c>
      <c r="Y93" s="108">
        <v>60</v>
      </c>
    </row>
    <row r="94" spans="1:25" ht="12.75">
      <c r="A94" s="103" t="s">
        <v>200</v>
      </c>
      <c r="B94" s="139" t="s">
        <v>201</v>
      </c>
      <c r="C94" s="140" t="s">
        <v>7</v>
      </c>
      <c r="D94" s="140" t="s">
        <v>124</v>
      </c>
      <c r="E94" s="104" t="s">
        <v>202</v>
      </c>
      <c r="F94" s="105" t="s">
        <v>102</v>
      </c>
      <c r="G94" s="105" t="s">
        <v>293</v>
      </c>
      <c r="H94" s="106" t="s">
        <v>203</v>
      </c>
      <c r="I94" s="107" t="s">
        <v>105</v>
      </c>
      <c r="J94" s="107" t="s">
        <v>347</v>
      </c>
      <c r="K94" s="106" t="s">
        <v>204</v>
      </c>
      <c r="L94" s="107" t="s">
        <v>386</v>
      </c>
      <c r="M94" s="107" t="s">
        <v>378</v>
      </c>
      <c r="N94" s="106" t="s">
        <v>205</v>
      </c>
      <c r="O94" s="107" t="s">
        <v>206</v>
      </c>
      <c r="P94" s="107" t="s">
        <v>422</v>
      </c>
      <c r="Q94" s="106" t="s">
        <v>423</v>
      </c>
      <c r="R94" s="107" t="s">
        <v>105</v>
      </c>
      <c r="S94" s="107" t="s">
        <v>343</v>
      </c>
      <c r="T94" s="107" t="s">
        <v>241</v>
      </c>
      <c r="U94" s="107">
        <v>0</v>
      </c>
      <c r="V94" s="107">
        <v>100</v>
      </c>
      <c r="W94" s="106" t="s">
        <v>353</v>
      </c>
      <c r="X94" s="108">
        <v>-30</v>
      </c>
      <c r="Y94" s="108">
        <v>30</v>
      </c>
    </row>
    <row r="95" spans="1:25" ht="12.75">
      <c r="A95" s="103" t="s">
        <v>354</v>
      </c>
      <c r="B95" s="139" t="s">
        <v>399</v>
      </c>
      <c r="C95" s="140" t="s">
        <v>115</v>
      </c>
      <c r="D95" s="140" t="s">
        <v>132</v>
      </c>
      <c r="E95" s="104" t="s">
        <v>202</v>
      </c>
      <c r="F95" s="105" t="s">
        <v>102</v>
      </c>
      <c r="G95" s="105" t="s">
        <v>293</v>
      </c>
      <c r="H95" s="106" t="s">
        <v>203</v>
      </c>
      <c r="I95" s="107" t="s">
        <v>105</v>
      </c>
      <c r="J95" s="107" t="s">
        <v>347</v>
      </c>
      <c r="K95" s="106" t="s">
        <v>204</v>
      </c>
      <c r="L95" s="107" t="s">
        <v>386</v>
      </c>
      <c r="M95" s="107" t="s">
        <v>378</v>
      </c>
      <c r="N95" s="106" t="s">
        <v>400</v>
      </c>
      <c r="O95" s="107" t="s">
        <v>343</v>
      </c>
      <c r="P95" s="107" t="s">
        <v>152</v>
      </c>
      <c r="Q95" s="106" t="s">
        <v>401</v>
      </c>
      <c r="R95" s="107" t="s">
        <v>102</v>
      </c>
      <c r="S95" s="107" t="s">
        <v>343</v>
      </c>
      <c r="T95" s="107" t="s">
        <v>241</v>
      </c>
      <c r="U95" s="107">
        <v>0</v>
      </c>
      <c r="V95" s="107">
        <v>100</v>
      </c>
      <c r="W95" s="106" t="s">
        <v>402</v>
      </c>
      <c r="X95" s="108">
        <v>0</v>
      </c>
      <c r="Y95" s="108">
        <v>60</v>
      </c>
    </row>
    <row r="96" spans="1:25" ht="12.75">
      <c r="A96" s="103" t="s">
        <v>403</v>
      </c>
      <c r="B96" s="139" t="s">
        <v>404</v>
      </c>
      <c r="C96" s="140" t="s">
        <v>135</v>
      </c>
      <c r="D96" s="140" t="s">
        <v>136</v>
      </c>
      <c r="E96" s="104" t="s">
        <v>350</v>
      </c>
      <c r="F96" s="105" t="s">
        <v>359</v>
      </c>
      <c r="G96" s="105" t="s">
        <v>360</v>
      </c>
      <c r="H96" s="106" t="s">
        <v>361</v>
      </c>
      <c r="I96" s="107" t="s">
        <v>291</v>
      </c>
      <c r="J96" s="107" t="s">
        <v>347</v>
      </c>
      <c r="K96" s="106" t="s">
        <v>362</v>
      </c>
      <c r="L96" s="107" t="s">
        <v>385</v>
      </c>
      <c r="M96" s="107" t="s">
        <v>175</v>
      </c>
      <c r="N96" s="106" t="s">
        <v>292</v>
      </c>
      <c r="O96" s="107" t="s">
        <v>102</v>
      </c>
      <c r="P96" s="107" t="s">
        <v>293</v>
      </c>
      <c r="Q96" s="106" t="s">
        <v>292</v>
      </c>
      <c r="R96" s="107" t="s">
        <v>102</v>
      </c>
      <c r="S96" s="107" t="s">
        <v>293</v>
      </c>
      <c r="T96" s="107" t="s">
        <v>241</v>
      </c>
      <c r="U96" s="107">
        <v>0</v>
      </c>
      <c r="V96" s="107">
        <v>100</v>
      </c>
      <c r="W96" s="106" t="s">
        <v>395</v>
      </c>
      <c r="X96" s="108">
        <v>60</v>
      </c>
      <c r="Y96" s="108">
        <v>120</v>
      </c>
    </row>
    <row r="97" spans="1:25" ht="12.75">
      <c r="A97" s="103" t="s">
        <v>14</v>
      </c>
      <c r="B97" s="139" t="s">
        <v>176</v>
      </c>
      <c r="C97" s="140" t="s">
        <v>137</v>
      </c>
      <c r="D97" s="140" t="s">
        <v>138</v>
      </c>
      <c r="E97" s="104" t="s">
        <v>292</v>
      </c>
      <c r="F97" s="105" t="s">
        <v>102</v>
      </c>
      <c r="G97" s="105" t="s">
        <v>293</v>
      </c>
      <c r="H97" s="106" t="s">
        <v>104</v>
      </c>
      <c r="I97" s="107" t="s">
        <v>291</v>
      </c>
      <c r="J97" s="107" t="s">
        <v>347</v>
      </c>
      <c r="K97" s="106" t="s">
        <v>377</v>
      </c>
      <c r="L97" s="107" t="s">
        <v>386</v>
      </c>
      <c r="M97" s="107" t="s">
        <v>378</v>
      </c>
      <c r="N97" s="106" t="s">
        <v>194</v>
      </c>
      <c r="O97" s="107" t="s">
        <v>343</v>
      </c>
      <c r="P97" s="107" t="s">
        <v>195</v>
      </c>
      <c r="Q97" s="106" t="s">
        <v>342</v>
      </c>
      <c r="R97" s="107" t="s">
        <v>102</v>
      </c>
      <c r="S97" s="107" t="s">
        <v>343</v>
      </c>
      <c r="T97" s="107" t="s">
        <v>241</v>
      </c>
      <c r="U97" s="107">
        <v>0</v>
      </c>
      <c r="V97" s="107">
        <v>100</v>
      </c>
      <c r="W97" s="106" t="s">
        <v>380</v>
      </c>
      <c r="X97" s="108">
        <v>0</v>
      </c>
      <c r="Y97" s="108">
        <v>60</v>
      </c>
    </row>
    <row r="98" spans="1:25" ht="12.75">
      <c r="A98" s="103" t="s">
        <v>15</v>
      </c>
      <c r="B98" s="139" t="s">
        <v>177</v>
      </c>
      <c r="C98" s="140" t="s">
        <v>309</v>
      </c>
      <c r="D98" s="140" t="s">
        <v>310</v>
      </c>
      <c r="E98" s="104" t="s">
        <v>226</v>
      </c>
      <c r="F98" s="105" t="s">
        <v>227</v>
      </c>
      <c r="G98" s="105" t="s">
        <v>228</v>
      </c>
      <c r="H98" s="106" t="s">
        <v>229</v>
      </c>
      <c r="I98" s="107" t="s">
        <v>105</v>
      </c>
      <c r="J98" s="107" t="s">
        <v>347</v>
      </c>
      <c r="K98" s="106" t="s">
        <v>394</v>
      </c>
      <c r="L98" s="107" t="s">
        <v>385</v>
      </c>
      <c r="M98" s="107" t="s">
        <v>293</v>
      </c>
      <c r="N98" s="106" t="s">
        <v>292</v>
      </c>
      <c r="O98" s="107" t="s">
        <v>102</v>
      </c>
      <c r="P98" s="107" t="s">
        <v>293</v>
      </c>
      <c r="Q98" s="106" t="s">
        <v>342</v>
      </c>
      <c r="R98" s="107" t="s">
        <v>102</v>
      </c>
      <c r="S98" s="107" t="s">
        <v>343</v>
      </c>
      <c r="T98" s="107" t="s">
        <v>241</v>
      </c>
      <c r="U98" s="107">
        <v>0</v>
      </c>
      <c r="V98" s="107">
        <v>100</v>
      </c>
      <c r="W98" s="106" t="s">
        <v>230</v>
      </c>
      <c r="X98" s="108">
        <v>30</v>
      </c>
      <c r="Y98" s="108">
        <v>90</v>
      </c>
    </row>
    <row r="99" spans="1:25" ht="12.75">
      <c r="A99" s="103" t="s">
        <v>163</v>
      </c>
      <c r="B99" s="139" t="s">
        <v>231</v>
      </c>
      <c r="C99" s="140" t="s">
        <v>311</v>
      </c>
      <c r="D99" s="140" t="s">
        <v>60</v>
      </c>
      <c r="E99" s="104" t="s">
        <v>288</v>
      </c>
      <c r="F99" s="105" t="s">
        <v>102</v>
      </c>
      <c r="G99" s="105" t="s">
        <v>289</v>
      </c>
      <c r="H99" s="106" t="s">
        <v>104</v>
      </c>
      <c r="I99" s="107" t="s">
        <v>291</v>
      </c>
      <c r="J99" s="107" t="s">
        <v>347</v>
      </c>
      <c r="K99" s="106" t="s">
        <v>394</v>
      </c>
      <c r="L99" s="107" t="s">
        <v>385</v>
      </c>
      <c r="M99" s="107" t="s">
        <v>293</v>
      </c>
      <c r="N99" s="106" t="s">
        <v>292</v>
      </c>
      <c r="O99" s="107" t="s">
        <v>102</v>
      </c>
      <c r="P99" s="107" t="s">
        <v>293</v>
      </c>
      <c r="Q99" s="106" t="s">
        <v>342</v>
      </c>
      <c r="R99" s="107" t="s">
        <v>102</v>
      </c>
      <c r="S99" s="107" t="s">
        <v>343</v>
      </c>
      <c r="T99" s="107" t="s">
        <v>241</v>
      </c>
      <c r="U99" s="107">
        <v>0</v>
      </c>
      <c r="V99" s="107">
        <v>100</v>
      </c>
      <c r="W99" s="106" t="s">
        <v>230</v>
      </c>
      <c r="X99" s="108">
        <v>30</v>
      </c>
      <c r="Y99" s="108">
        <v>90</v>
      </c>
    </row>
    <row r="100" spans="1:25" ht="12.75">
      <c r="A100" s="103" t="s">
        <v>164</v>
      </c>
      <c r="B100" s="139" t="s">
        <v>232</v>
      </c>
      <c r="C100" s="140" t="s">
        <v>61</v>
      </c>
      <c r="D100" s="140" t="s">
        <v>62</v>
      </c>
      <c r="E100" s="104" t="s">
        <v>288</v>
      </c>
      <c r="F100" s="105" t="s">
        <v>102</v>
      </c>
      <c r="G100" s="105" t="s">
        <v>289</v>
      </c>
      <c r="H100" s="106" t="s">
        <v>104</v>
      </c>
      <c r="I100" s="107" t="s">
        <v>291</v>
      </c>
      <c r="J100" s="107" t="s">
        <v>347</v>
      </c>
      <c r="K100" s="106" t="s">
        <v>394</v>
      </c>
      <c r="L100" s="107" t="s">
        <v>385</v>
      </c>
      <c r="M100" s="107" t="s">
        <v>293</v>
      </c>
      <c r="N100" s="106" t="s">
        <v>292</v>
      </c>
      <c r="O100" s="107" t="s">
        <v>102</v>
      </c>
      <c r="P100" s="107" t="s">
        <v>293</v>
      </c>
      <c r="Q100" s="106" t="s">
        <v>342</v>
      </c>
      <c r="R100" s="107" t="s">
        <v>102</v>
      </c>
      <c r="S100" s="107" t="s">
        <v>343</v>
      </c>
      <c r="T100" s="107" t="s">
        <v>241</v>
      </c>
      <c r="U100" s="107">
        <v>0</v>
      </c>
      <c r="V100" s="107">
        <v>100</v>
      </c>
      <c r="W100" s="106" t="s">
        <v>230</v>
      </c>
      <c r="X100" s="108">
        <v>30</v>
      </c>
      <c r="Y100" s="108">
        <v>90</v>
      </c>
    </row>
    <row r="101" spans="1:25" ht="12.75">
      <c r="A101" s="103" t="s">
        <v>165</v>
      </c>
      <c r="B101" s="139" t="s">
        <v>355</v>
      </c>
      <c r="C101" s="140" t="s">
        <v>63</v>
      </c>
      <c r="D101" s="140" t="s">
        <v>136</v>
      </c>
      <c r="E101" s="104" t="s">
        <v>288</v>
      </c>
      <c r="F101" s="105" t="s">
        <v>102</v>
      </c>
      <c r="G101" s="105" t="s">
        <v>289</v>
      </c>
      <c r="H101" s="106" t="s">
        <v>104</v>
      </c>
      <c r="I101" s="107" t="s">
        <v>291</v>
      </c>
      <c r="J101" s="107" t="s">
        <v>285</v>
      </c>
      <c r="K101" s="106" t="s">
        <v>362</v>
      </c>
      <c r="L101" s="107" t="s">
        <v>385</v>
      </c>
      <c r="M101" s="107" t="s">
        <v>175</v>
      </c>
      <c r="N101" s="106" t="s">
        <v>292</v>
      </c>
      <c r="O101" s="107" t="s">
        <v>102</v>
      </c>
      <c r="P101" s="107" t="s">
        <v>293</v>
      </c>
      <c r="Q101" s="106" t="s">
        <v>292</v>
      </c>
      <c r="R101" s="107" t="s">
        <v>102</v>
      </c>
      <c r="S101" s="107" t="s">
        <v>293</v>
      </c>
      <c r="T101" s="107" t="s">
        <v>241</v>
      </c>
      <c r="U101" s="107">
        <v>0</v>
      </c>
      <c r="V101" s="107">
        <v>100</v>
      </c>
      <c r="W101" s="106" t="s">
        <v>395</v>
      </c>
      <c r="X101" s="108">
        <v>60</v>
      </c>
      <c r="Y101" s="108">
        <v>120</v>
      </c>
    </row>
    <row r="102" spans="1:25" ht="12.75">
      <c r="A102" s="103" t="s">
        <v>166</v>
      </c>
      <c r="B102" s="139" t="s">
        <v>250</v>
      </c>
      <c r="C102" s="140" t="s">
        <v>130</v>
      </c>
      <c r="D102" s="140" t="s">
        <v>64</v>
      </c>
      <c r="E102" s="104" t="s">
        <v>288</v>
      </c>
      <c r="F102" s="105" t="s">
        <v>102</v>
      </c>
      <c r="G102" s="105" t="s">
        <v>289</v>
      </c>
      <c r="H102" s="106" t="s">
        <v>104</v>
      </c>
      <c r="I102" s="107" t="s">
        <v>291</v>
      </c>
      <c r="J102" s="107" t="s">
        <v>347</v>
      </c>
      <c r="K102" s="106" t="s">
        <v>362</v>
      </c>
      <c r="L102" s="107" t="s">
        <v>385</v>
      </c>
      <c r="M102" s="107" t="s">
        <v>175</v>
      </c>
      <c r="N102" s="106" t="s">
        <v>292</v>
      </c>
      <c r="O102" s="107" t="s">
        <v>102</v>
      </c>
      <c r="P102" s="107" t="s">
        <v>293</v>
      </c>
      <c r="Q102" s="106" t="s">
        <v>292</v>
      </c>
      <c r="R102" s="107" t="s">
        <v>102</v>
      </c>
      <c r="S102" s="107" t="s">
        <v>293</v>
      </c>
      <c r="T102" s="107" t="s">
        <v>241</v>
      </c>
      <c r="U102" s="107">
        <v>0</v>
      </c>
      <c r="V102" s="107">
        <v>100</v>
      </c>
      <c r="W102" s="106" t="s">
        <v>395</v>
      </c>
      <c r="X102" s="108">
        <v>60</v>
      </c>
      <c r="Y102" s="108">
        <v>120</v>
      </c>
    </row>
    <row r="103" spans="1:25" ht="12.75">
      <c r="A103" s="103" t="s">
        <v>167</v>
      </c>
      <c r="B103" s="139" t="s">
        <v>405</v>
      </c>
      <c r="C103" s="140" t="s">
        <v>65</v>
      </c>
      <c r="D103" s="140" t="s">
        <v>66</v>
      </c>
      <c r="E103" s="104" t="s">
        <v>288</v>
      </c>
      <c r="F103" s="105" t="s">
        <v>102</v>
      </c>
      <c r="G103" s="105" t="s">
        <v>289</v>
      </c>
      <c r="H103" s="106" t="s">
        <v>104</v>
      </c>
      <c r="I103" s="107" t="s">
        <v>291</v>
      </c>
      <c r="J103" s="107" t="s">
        <v>347</v>
      </c>
      <c r="K103" s="106" t="s">
        <v>394</v>
      </c>
      <c r="L103" s="107" t="s">
        <v>385</v>
      </c>
      <c r="M103" s="107" t="s">
        <v>175</v>
      </c>
      <c r="N103" s="106" t="s">
        <v>292</v>
      </c>
      <c r="O103" s="107" t="s">
        <v>102</v>
      </c>
      <c r="P103" s="107" t="s">
        <v>293</v>
      </c>
      <c r="Q103" s="106" t="s">
        <v>342</v>
      </c>
      <c r="R103" s="107" t="s">
        <v>102</v>
      </c>
      <c r="S103" s="107" t="s">
        <v>343</v>
      </c>
      <c r="T103" s="107" t="s">
        <v>241</v>
      </c>
      <c r="U103" s="107">
        <v>0</v>
      </c>
      <c r="V103" s="107">
        <v>100</v>
      </c>
      <c r="W103" s="106" t="s">
        <v>230</v>
      </c>
      <c r="X103" s="108">
        <v>30</v>
      </c>
      <c r="Y103" s="108">
        <v>90</v>
      </c>
    </row>
    <row r="104" spans="1:25" ht="12.75">
      <c r="A104" s="103" t="s">
        <v>48</v>
      </c>
      <c r="B104" s="139" t="s">
        <v>406</v>
      </c>
      <c r="C104" s="140" t="s">
        <v>64</v>
      </c>
      <c r="D104" s="140" t="s">
        <v>66</v>
      </c>
      <c r="E104" s="104" t="s">
        <v>288</v>
      </c>
      <c r="F104" s="105" t="s">
        <v>102</v>
      </c>
      <c r="G104" s="105" t="s">
        <v>289</v>
      </c>
      <c r="H104" s="106" t="s">
        <v>104</v>
      </c>
      <c r="I104" s="107" t="s">
        <v>291</v>
      </c>
      <c r="J104" s="107" t="s">
        <v>347</v>
      </c>
      <c r="K104" s="106" t="s">
        <v>362</v>
      </c>
      <c r="L104" s="107" t="s">
        <v>385</v>
      </c>
      <c r="M104" s="107" t="s">
        <v>175</v>
      </c>
      <c r="N104" s="106" t="s">
        <v>292</v>
      </c>
      <c r="O104" s="107" t="s">
        <v>102</v>
      </c>
      <c r="P104" s="107" t="s">
        <v>293</v>
      </c>
      <c r="Q104" s="106" t="s">
        <v>292</v>
      </c>
      <c r="R104" s="107" t="s">
        <v>102</v>
      </c>
      <c r="S104" s="107" t="s">
        <v>293</v>
      </c>
      <c r="T104" s="107" t="s">
        <v>241</v>
      </c>
      <c r="U104" s="107">
        <v>0</v>
      </c>
      <c r="V104" s="107">
        <v>100</v>
      </c>
      <c r="W104" s="106" t="s">
        <v>395</v>
      </c>
      <c r="X104" s="108">
        <v>60</v>
      </c>
      <c r="Y104" s="108">
        <v>120</v>
      </c>
    </row>
    <row r="105" spans="1:25" ht="12.75">
      <c r="A105" s="103" t="s">
        <v>49</v>
      </c>
      <c r="B105" s="139" t="s">
        <v>407</v>
      </c>
      <c r="C105" s="140" t="s">
        <v>63</v>
      </c>
      <c r="D105" s="140" t="s">
        <v>66</v>
      </c>
      <c r="E105" s="104" t="s">
        <v>288</v>
      </c>
      <c r="F105" s="105" t="s">
        <v>102</v>
      </c>
      <c r="G105" s="105" t="s">
        <v>289</v>
      </c>
      <c r="H105" s="106" t="s">
        <v>104</v>
      </c>
      <c r="I105" s="107" t="s">
        <v>291</v>
      </c>
      <c r="J105" s="107" t="s">
        <v>347</v>
      </c>
      <c r="K105" s="106" t="s">
        <v>362</v>
      </c>
      <c r="L105" s="107" t="s">
        <v>385</v>
      </c>
      <c r="M105" s="107" t="s">
        <v>175</v>
      </c>
      <c r="N105" s="106" t="s">
        <v>292</v>
      </c>
      <c r="O105" s="107" t="s">
        <v>102</v>
      </c>
      <c r="P105" s="107" t="s">
        <v>293</v>
      </c>
      <c r="Q105" s="106" t="s">
        <v>292</v>
      </c>
      <c r="R105" s="107" t="s">
        <v>102</v>
      </c>
      <c r="S105" s="107" t="s">
        <v>293</v>
      </c>
      <c r="T105" s="107" t="s">
        <v>241</v>
      </c>
      <c r="U105" s="107">
        <v>0</v>
      </c>
      <c r="V105" s="107">
        <v>100</v>
      </c>
      <c r="W105" s="106" t="s">
        <v>395</v>
      </c>
      <c r="X105" s="108">
        <v>60</v>
      </c>
      <c r="Y105" s="108">
        <v>120</v>
      </c>
    </row>
    <row r="106" spans="1:25" ht="12.75">
      <c r="A106" s="103" t="s">
        <v>50</v>
      </c>
      <c r="B106" s="139" t="s">
        <v>406</v>
      </c>
      <c r="C106" s="140" t="s">
        <v>64</v>
      </c>
      <c r="D106" s="140" t="s">
        <v>66</v>
      </c>
      <c r="E106" s="104" t="s">
        <v>288</v>
      </c>
      <c r="F106" s="105" t="s">
        <v>102</v>
      </c>
      <c r="G106" s="105" t="s">
        <v>289</v>
      </c>
      <c r="H106" s="106" t="s">
        <v>104</v>
      </c>
      <c r="I106" s="107" t="s">
        <v>291</v>
      </c>
      <c r="J106" s="107" t="s">
        <v>347</v>
      </c>
      <c r="K106" s="106" t="s">
        <v>362</v>
      </c>
      <c r="L106" s="107" t="s">
        <v>385</v>
      </c>
      <c r="M106" s="107" t="s">
        <v>175</v>
      </c>
      <c r="N106" s="106" t="s">
        <v>292</v>
      </c>
      <c r="O106" s="107" t="s">
        <v>102</v>
      </c>
      <c r="P106" s="107" t="s">
        <v>293</v>
      </c>
      <c r="Q106" s="106" t="s">
        <v>292</v>
      </c>
      <c r="R106" s="107" t="s">
        <v>102</v>
      </c>
      <c r="S106" s="107" t="s">
        <v>293</v>
      </c>
      <c r="T106" s="107" t="s">
        <v>241</v>
      </c>
      <c r="U106" s="107">
        <v>0</v>
      </c>
      <c r="V106" s="107">
        <v>100</v>
      </c>
      <c r="W106" s="106" t="s">
        <v>395</v>
      </c>
      <c r="X106" s="108">
        <v>60</v>
      </c>
      <c r="Y106" s="108">
        <v>120</v>
      </c>
    </row>
    <row r="107" spans="1:25" ht="12.75">
      <c r="A107" s="103" t="s">
        <v>51</v>
      </c>
      <c r="B107" s="139" t="s">
        <v>406</v>
      </c>
      <c r="C107" s="140" t="s">
        <v>64</v>
      </c>
      <c r="D107" s="140" t="s">
        <v>66</v>
      </c>
      <c r="E107" s="104" t="s">
        <v>288</v>
      </c>
      <c r="F107" s="105" t="s">
        <v>102</v>
      </c>
      <c r="G107" s="105" t="s">
        <v>289</v>
      </c>
      <c r="H107" s="106" t="s">
        <v>104</v>
      </c>
      <c r="I107" s="107" t="s">
        <v>291</v>
      </c>
      <c r="J107" s="107" t="s">
        <v>347</v>
      </c>
      <c r="K107" s="106" t="s">
        <v>362</v>
      </c>
      <c r="L107" s="107" t="s">
        <v>385</v>
      </c>
      <c r="M107" s="107" t="s">
        <v>175</v>
      </c>
      <c r="N107" s="106" t="s">
        <v>292</v>
      </c>
      <c r="O107" s="107" t="s">
        <v>102</v>
      </c>
      <c r="P107" s="107" t="s">
        <v>293</v>
      </c>
      <c r="Q107" s="106" t="s">
        <v>292</v>
      </c>
      <c r="R107" s="107" t="s">
        <v>102</v>
      </c>
      <c r="S107" s="107" t="s">
        <v>293</v>
      </c>
      <c r="T107" s="107" t="s">
        <v>241</v>
      </c>
      <c r="U107" s="107">
        <v>0</v>
      </c>
      <c r="V107" s="107">
        <v>100</v>
      </c>
      <c r="W107" s="106" t="s">
        <v>395</v>
      </c>
      <c r="X107" s="108">
        <v>60</v>
      </c>
      <c r="Y107" s="108">
        <v>120</v>
      </c>
    </row>
    <row r="108" spans="1:25" ht="12.75">
      <c r="A108" s="103" t="s">
        <v>52</v>
      </c>
      <c r="B108" s="139" t="s">
        <v>406</v>
      </c>
      <c r="C108" s="140" t="s">
        <v>64</v>
      </c>
      <c r="D108" s="140" t="s">
        <v>66</v>
      </c>
      <c r="E108" s="104" t="s">
        <v>288</v>
      </c>
      <c r="F108" s="105" t="s">
        <v>102</v>
      </c>
      <c r="G108" s="105" t="s">
        <v>289</v>
      </c>
      <c r="H108" s="106" t="s">
        <v>104</v>
      </c>
      <c r="I108" s="107" t="s">
        <v>291</v>
      </c>
      <c r="J108" s="107" t="s">
        <v>347</v>
      </c>
      <c r="K108" s="106" t="s">
        <v>315</v>
      </c>
      <c r="L108" s="107" t="s">
        <v>378</v>
      </c>
      <c r="M108" s="107" t="s">
        <v>195</v>
      </c>
      <c r="N108" s="106" t="s">
        <v>292</v>
      </c>
      <c r="O108" s="107" t="s">
        <v>102</v>
      </c>
      <c r="P108" s="107" t="s">
        <v>293</v>
      </c>
      <c r="Q108" s="106" t="s">
        <v>292</v>
      </c>
      <c r="R108" s="107" t="s">
        <v>102</v>
      </c>
      <c r="S108" s="107" t="s">
        <v>293</v>
      </c>
      <c r="T108" s="107" t="s">
        <v>241</v>
      </c>
      <c r="U108" s="107">
        <v>0</v>
      </c>
      <c r="V108" s="107">
        <v>100</v>
      </c>
      <c r="W108" s="106" t="s">
        <v>315</v>
      </c>
      <c r="X108" s="108">
        <v>120</v>
      </c>
      <c r="Y108" s="108">
        <v>200</v>
      </c>
    </row>
    <row r="109" spans="1:25" ht="12.75">
      <c r="A109" s="103" t="s">
        <v>53</v>
      </c>
      <c r="B109" s="139" t="s">
        <v>316</v>
      </c>
      <c r="C109" s="140" t="s">
        <v>67</v>
      </c>
      <c r="D109" s="140" t="s">
        <v>68</v>
      </c>
      <c r="E109" s="104" t="s">
        <v>317</v>
      </c>
      <c r="F109" s="105" t="s">
        <v>318</v>
      </c>
      <c r="G109" s="105" t="s">
        <v>319</v>
      </c>
      <c r="H109" s="106" t="s">
        <v>179</v>
      </c>
      <c r="I109" s="107" t="s">
        <v>105</v>
      </c>
      <c r="J109" s="107" t="s">
        <v>347</v>
      </c>
      <c r="K109" s="106" t="s">
        <v>377</v>
      </c>
      <c r="L109" s="107" t="s">
        <v>386</v>
      </c>
      <c r="M109" s="107" t="s">
        <v>378</v>
      </c>
      <c r="N109" s="106" t="s">
        <v>151</v>
      </c>
      <c r="O109" s="107" t="s">
        <v>343</v>
      </c>
      <c r="P109" s="107" t="s">
        <v>152</v>
      </c>
      <c r="Q109" s="106" t="s">
        <v>342</v>
      </c>
      <c r="R109" s="107" t="s">
        <v>102</v>
      </c>
      <c r="S109" s="107" t="s">
        <v>343</v>
      </c>
      <c r="T109" s="107" t="s">
        <v>241</v>
      </c>
      <c r="U109" s="107">
        <v>0</v>
      </c>
      <c r="V109" s="107">
        <v>100</v>
      </c>
      <c r="W109" s="106" t="s">
        <v>380</v>
      </c>
      <c r="X109" s="108">
        <v>0</v>
      </c>
      <c r="Y109" s="108">
        <v>60</v>
      </c>
    </row>
    <row r="110" spans="1:25" ht="12.75">
      <c r="A110" s="103" t="s">
        <v>338</v>
      </c>
      <c r="B110" s="139" t="s">
        <v>339</v>
      </c>
      <c r="C110" s="140" t="s">
        <v>69</v>
      </c>
      <c r="D110" s="140" t="s">
        <v>70</v>
      </c>
      <c r="E110" s="104" t="s">
        <v>292</v>
      </c>
      <c r="F110" s="105" t="s">
        <v>102</v>
      </c>
      <c r="G110" s="105" t="s">
        <v>293</v>
      </c>
      <c r="H110" s="106" t="s">
        <v>104</v>
      </c>
      <c r="I110" s="107" t="s">
        <v>105</v>
      </c>
      <c r="J110" s="107" t="s">
        <v>347</v>
      </c>
      <c r="K110" s="106" t="s">
        <v>377</v>
      </c>
      <c r="L110" s="107" t="s">
        <v>386</v>
      </c>
      <c r="M110" s="107" t="s">
        <v>378</v>
      </c>
      <c r="N110" s="106" t="s">
        <v>205</v>
      </c>
      <c r="O110" s="107" t="s">
        <v>343</v>
      </c>
      <c r="P110" s="107" t="s">
        <v>434</v>
      </c>
      <c r="Q110" s="106" t="s">
        <v>379</v>
      </c>
      <c r="R110" s="107" t="s">
        <v>105</v>
      </c>
      <c r="S110" s="107" t="s">
        <v>343</v>
      </c>
      <c r="T110" s="107" t="s">
        <v>241</v>
      </c>
      <c r="U110" s="107">
        <v>0</v>
      </c>
      <c r="V110" s="107">
        <v>100</v>
      </c>
      <c r="W110" s="106" t="s">
        <v>353</v>
      </c>
      <c r="X110" s="108">
        <v>-30</v>
      </c>
      <c r="Y110" s="108">
        <v>30</v>
      </c>
    </row>
    <row r="111" spans="1:25" ht="12.75">
      <c r="A111" s="103" t="s">
        <v>54</v>
      </c>
      <c r="B111" s="139" t="s">
        <v>272</v>
      </c>
      <c r="C111" s="140" t="s">
        <v>67</v>
      </c>
      <c r="D111" s="140" t="s">
        <v>70</v>
      </c>
      <c r="E111" s="104" t="s">
        <v>292</v>
      </c>
      <c r="F111" s="105" t="s">
        <v>102</v>
      </c>
      <c r="G111" s="105" t="s">
        <v>293</v>
      </c>
      <c r="H111" s="106" t="s">
        <v>104</v>
      </c>
      <c r="I111" s="107" t="s">
        <v>105</v>
      </c>
      <c r="J111" s="107" t="s">
        <v>347</v>
      </c>
      <c r="K111" s="106" t="s">
        <v>377</v>
      </c>
      <c r="L111" s="107" t="s">
        <v>386</v>
      </c>
      <c r="M111" s="107" t="s">
        <v>378</v>
      </c>
      <c r="N111" s="106" t="s">
        <v>205</v>
      </c>
      <c r="O111" s="107" t="s">
        <v>343</v>
      </c>
      <c r="P111" s="107" t="s">
        <v>434</v>
      </c>
      <c r="Q111" s="106" t="s">
        <v>379</v>
      </c>
      <c r="R111" s="107" t="s">
        <v>105</v>
      </c>
      <c r="S111" s="107" t="s">
        <v>343</v>
      </c>
      <c r="T111" s="107" t="s">
        <v>241</v>
      </c>
      <c r="U111" s="107">
        <v>0</v>
      </c>
      <c r="V111" s="107">
        <v>100</v>
      </c>
      <c r="W111" s="106" t="s">
        <v>353</v>
      </c>
      <c r="X111" s="108">
        <v>-30</v>
      </c>
      <c r="Y111" s="108">
        <v>30</v>
      </c>
    </row>
    <row r="112" spans="1:25" ht="12.75">
      <c r="A112" s="103" t="s">
        <v>55</v>
      </c>
      <c r="B112" s="139" t="s">
        <v>273</v>
      </c>
      <c r="C112" s="140" t="s">
        <v>71</v>
      </c>
      <c r="D112" s="140" t="s">
        <v>67</v>
      </c>
      <c r="E112" s="104" t="s">
        <v>342</v>
      </c>
      <c r="F112" s="105" t="s">
        <v>102</v>
      </c>
      <c r="G112" s="105" t="s">
        <v>343</v>
      </c>
      <c r="H112" s="106" t="s">
        <v>104</v>
      </c>
      <c r="I112" s="107" t="s">
        <v>105</v>
      </c>
      <c r="J112" s="107" t="s">
        <v>347</v>
      </c>
      <c r="K112" s="106" t="s">
        <v>192</v>
      </c>
      <c r="L112" s="107" t="s">
        <v>105</v>
      </c>
      <c r="M112" s="107" t="s">
        <v>385</v>
      </c>
      <c r="N112" s="106" t="s">
        <v>341</v>
      </c>
      <c r="O112" s="107" t="s">
        <v>105</v>
      </c>
      <c r="P112" s="107" t="s">
        <v>102</v>
      </c>
      <c r="Q112" s="106" t="s">
        <v>379</v>
      </c>
      <c r="R112" s="107" t="s">
        <v>105</v>
      </c>
      <c r="S112" s="107" t="s">
        <v>343</v>
      </c>
      <c r="T112" s="107" t="s">
        <v>241</v>
      </c>
      <c r="U112" s="107">
        <v>0</v>
      </c>
      <c r="V112" s="107">
        <v>100</v>
      </c>
      <c r="W112" s="106" t="s">
        <v>193</v>
      </c>
      <c r="X112" s="108">
        <v>-30</v>
      </c>
      <c r="Y112" s="108">
        <v>0</v>
      </c>
    </row>
    <row r="113" spans="1:25" ht="12.75">
      <c r="A113" s="103" t="s">
        <v>184</v>
      </c>
      <c r="B113" s="139" t="s">
        <v>274</v>
      </c>
      <c r="C113" s="140" t="s">
        <v>305</v>
      </c>
      <c r="D113" s="140" t="s">
        <v>72</v>
      </c>
      <c r="E113" s="104" t="s">
        <v>288</v>
      </c>
      <c r="F113" s="105" t="s">
        <v>102</v>
      </c>
      <c r="G113" s="105" t="s">
        <v>289</v>
      </c>
      <c r="H113" s="106" t="s">
        <v>104</v>
      </c>
      <c r="I113" s="107" t="s">
        <v>105</v>
      </c>
      <c r="J113" s="107" t="s">
        <v>275</v>
      </c>
      <c r="K113" s="106" t="s">
        <v>276</v>
      </c>
      <c r="L113" s="107" t="s">
        <v>277</v>
      </c>
      <c r="M113" s="107" t="s">
        <v>278</v>
      </c>
      <c r="N113" s="106" t="s">
        <v>279</v>
      </c>
      <c r="O113" s="107" t="s">
        <v>359</v>
      </c>
      <c r="P113" s="107" t="s">
        <v>280</v>
      </c>
      <c r="Q113" s="106" t="s">
        <v>279</v>
      </c>
      <c r="R113" s="107" t="s">
        <v>359</v>
      </c>
      <c r="S113" s="107" t="s">
        <v>280</v>
      </c>
      <c r="T113" s="107" t="s">
        <v>241</v>
      </c>
      <c r="U113" s="107">
        <v>0</v>
      </c>
      <c r="V113" s="107">
        <v>100</v>
      </c>
      <c r="W113" s="106" t="s">
        <v>281</v>
      </c>
      <c r="X113" s="108">
        <v>60</v>
      </c>
      <c r="Y113" s="108">
        <v>120</v>
      </c>
    </row>
    <row r="114" spans="1:25" ht="12.75">
      <c r="A114" s="103" t="s">
        <v>128</v>
      </c>
      <c r="B114" s="139" t="s">
        <v>176</v>
      </c>
      <c r="C114" s="140" t="s">
        <v>137</v>
      </c>
      <c r="D114" s="140" t="s">
        <v>65</v>
      </c>
      <c r="E114" s="104" t="s">
        <v>350</v>
      </c>
      <c r="F114" s="105" t="s">
        <v>359</v>
      </c>
      <c r="G114" s="105" t="s">
        <v>360</v>
      </c>
      <c r="H114" s="106" t="s">
        <v>361</v>
      </c>
      <c r="I114" s="107" t="s">
        <v>105</v>
      </c>
      <c r="J114" s="107" t="s">
        <v>347</v>
      </c>
      <c r="K114" s="106" t="s">
        <v>185</v>
      </c>
      <c r="L114" s="107">
        <v>120</v>
      </c>
      <c r="M114" s="107" t="s">
        <v>195</v>
      </c>
      <c r="N114" s="106" t="s">
        <v>292</v>
      </c>
      <c r="O114" s="107" t="s">
        <v>102</v>
      </c>
      <c r="P114" s="107" t="s">
        <v>293</v>
      </c>
      <c r="Q114" s="106" t="s">
        <v>292</v>
      </c>
      <c r="R114" s="107" t="s">
        <v>102</v>
      </c>
      <c r="S114" s="107" t="s">
        <v>293</v>
      </c>
      <c r="T114" s="107" t="s">
        <v>241</v>
      </c>
      <c r="U114" s="107">
        <v>0</v>
      </c>
      <c r="V114" s="107">
        <v>100</v>
      </c>
      <c r="W114" s="106" t="s">
        <v>315</v>
      </c>
      <c r="X114" s="108">
        <v>120</v>
      </c>
      <c r="Y114" s="108">
        <v>200</v>
      </c>
    </row>
    <row r="115" spans="1:25" ht="12.75">
      <c r="A115" s="103" t="s">
        <v>129</v>
      </c>
      <c r="B115" s="139" t="s">
        <v>282</v>
      </c>
      <c r="C115" s="140" t="s">
        <v>305</v>
      </c>
      <c r="D115" s="140" t="s">
        <v>303</v>
      </c>
      <c r="E115" s="104" t="s">
        <v>292</v>
      </c>
      <c r="F115" s="105" t="s">
        <v>102</v>
      </c>
      <c r="G115" s="105" t="s">
        <v>293</v>
      </c>
      <c r="H115" s="106" t="s">
        <v>104</v>
      </c>
      <c r="I115" s="107" t="s">
        <v>105</v>
      </c>
      <c r="J115" s="107" t="s">
        <v>347</v>
      </c>
      <c r="K115" s="106" t="s">
        <v>377</v>
      </c>
      <c r="L115" s="107" t="s">
        <v>386</v>
      </c>
      <c r="M115" s="107" t="s">
        <v>378</v>
      </c>
      <c r="N115" s="106" t="s">
        <v>151</v>
      </c>
      <c r="O115" s="107" t="s">
        <v>343</v>
      </c>
      <c r="P115" s="107" t="s">
        <v>152</v>
      </c>
      <c r="Q115" s="106" t="s">
        <v>342</v>
      </c>
      <c r="R115" s="107" t="s">
        <v>102</v>
      </c>
      <c r="S115" s="107" t="s">
        <v>343</v>
      </c>
      <c r="T115" s="107" t="s">
        <v>241</v>
      </c>
      <c r="U115" s="107">
        <v>0</v>
      </c>
      <c r="V115" s="107">
        <v>100</v>
      </c>
      <c r="W115" s="106" t="s">
        <v>380</v>
      </c>
      <c r="X115" s="108">
        <v>0</v>
      </c>
      <c r="Y115" s="108">
        <v>60</v>
      </c>
    </row>
    <row r="116" spans="1:25" ht="12.75">
      <c r="A116" s="103" t="s">
        <v>56</v>
      </c>
      <c r="B116" s="139" t="s">
        <v>346</v>
      </c>
      <c r="C116" s="140" t="s">
        <v>71</v>
      </c>
      <c r="D116" s="140" t="s">
        <v>73</v>
      </c>
      <c r="E116" s="104" t="s">
        <v>342</v>
      </c>
      <c r="F116" s="105" t="s">
        <v>102</v>
      </c>
      <c r="G116" s="105" t="s">
        <v>343</v>
      </c>
      <c r="H116" s="106" t="s">
        <v>104</v>
      </c>
      <c r="I116" s="107" t="s">
        <v>105</v>
      </c>
      <c r="J116" s="107" t="s">
        <v>347</v>
      </c>
      <c r="K116" s="106" t="s">
        <v>192</v>
      </c>
      <c r="L116" s="107" t="s">
        <v>105</v>
      </c>
      <c r="M116" s="107" t="s">
        <v>385</v>
      </c>
      <c r="N116" s="106" t="s">
        <v>341</v>
      </c>
      <c r="O116" s="107" t="s">
        <v>105</v>
      </c>
      <c r="P116" s="107" t="s">
        <v>102</v>
      </c>
      <c r="Q116" s="106" t="s">
        <v>379</v>
      </c>
      <c r="R116" s="107" t="s">
        <v>105</v>
      </c>
      <c r="S116" s="107" t="s">
        <v>343</v>
      </c>
      <c r="T116" s="107" t="s">
        <v>241</v>
      </c>
      <c r="U116" s="107">
        <v>0</v>
      </c>
      <c r="V116" s="107">
        <v>100</v>
      </c>
      <c r="W116" s="106" t="s">
        <v>193</v>
      </c>
      <c r="X116" s="108">
        <v>-30</v>
      </c>
      <c r="Y116" s="108">
        <v>0</v>
      </c>
    </row>
    <row r="117" spans="1:25" ht="12.75">
      <c r="A117" s="103" t="s">
        <v>57</v>
      </c>
      <c r="B117" s="139" t="s">
        <v>316</v>
      </c>
      <c r="C117" s="140" t="s">
        <v>74</v>
      </c>
      <c r="D117" s="140" t="s">
        <v>118</v>
      </c>
      <c r="E117" s="104" t="s">
        <v>292</v>
      </c>
      <c r="F117" s="105" t="s">
        <v>102</v>
      </c>
      <c r="G117" s="105" t="s">
        <v>293</v>
      </c>
      <c r="H117" s="106" t="s">
        <v>104</v>
      </c>
      <c r="I117" s="107" t="s">
        <v>105</v>
      </c>
      <c r="J117" s="107" t="s">
        <v>347</v>
      </c>
      <c r="K117" s="106" t="s">
        <v>377</v>
      </c>
      <c r="L117" s="107" t="s">
        <v>386</v>
      </c>
      <c r="M117" s="107" t="s">
        <v>378</v>
      </c>
      <c r="N117" s="106" t="s">
        <v>151</v>
      </c>
      <c r="O117" s="107" t="s">
        <v>343</v>
      </c>
      <c r="P117" s="107" t="s">
        <v>152</v>
      </c>
      <c r="Q117" s="106" t="s">
        <v>342</v>
      </c>
      <c r="R117" s="107" t="s">
        <v>102</v>
      </c>
      <c r="S117" s="107" t="s">
        <v>343</v>
      </c>
      <c r="T117" s="107" t="s">
        <v>241</v>
      </c>
      <c r="U117" s="107">
        <v>0</v>
      </c>
      <c r="V117" s="107">
        <v>100</v>
      </c>
      <c r="W117" s="106" t="s">
        <v>380</v>
      </c>
      <c r="X117" s="108">
        <v>0</v>
      </c>
      <c r="Y117" s="108">
        <v>60</v>
      </c>
    </row>
    <row r="118" spans="1:25" ht="12.75">
      <c r="A118" s="103" t="s">
        <v>58</v>
      </c>
      <c r="B118" s="139" t="s">
        <v>201</v>
      </c>
      <c r="C118" s="140" t="s">
        <v>7</v>
      </c>
      <c r="D118" s="140" t="s">
        <v>124</v>
      </c>
      <c r="E118" s="104" t="s">
        <v>292</v>
      </c>
      <c r="F118" s="105" t="s">
        <v>102</v>
      </c>
      <c r="G118" s="105" t="s">
        <v>293</v>
      </c>
      <c r="H118" s="106" t="s">
        <v>203</v>
      </c>
      <c r="I118" s="107" t="s">
        <v>105</v>
      </c>
      <c r="J118" s="107" t="s">
        <v>347</v>
      </c>
      <c r="K118" s="106" t="s">
        <v>377</v>
      </c>
      <c r="L118" s="107" t="s">
        <v>386</v>
      </c>
      <c r="M118" s="107" t="s">
        <v>378</v>
      </c>
      <c r="N118" s="106" t="s">
        <v>205</v>
      </c>
      <c r="O118" s="107" t="s">
        <v>343</v>
      </c>
      <c r="P118" s="107" t="s">
        <v>434</v>
      </c>
      <c r="Q118" s="106" t="s">
        <v>379</v>
      </c>
      <c r="R118" s="107" t="s">
        <v>105</v>
      </c>
      <c r="S118" s="107" t="s">
        <v>343</v>
      </c>
      <c r="T118" s="107" t="s">
        <v>241</v>
      </c>
      <c r="U118" s="107">
        <v>0</v>
      </c>
      <c r="V118" s="107">
        <v>100</v>
      </c>
      <c r="W118" s="106" t="s">
        <v>353</v>
      </c>
      <c r="X118" s="108">
        <v>-30</v>
      </c>
      <c r="Y118" s="108">
        <v>30</v>
      </c>
    </row>
    <row r="119" spans="1:25" ht="12.75">
      <c r="A119" s="103" t="s">
        <v>16</v>
      </c>
      <c r="B119" s="139" t="s">
        <v>283</v>
      </c>
      <c r="C119" s="140" t="s">
        <v>69</v>
      </c>
      <c r="D119" s="140" t="s">
        <v>309</v>
      </c>
      <c r="E119" s="104" t="s">
        <v>342</v>
      </c>
      <c r="F119" s="105" t="s">
        <v>102</v>
      </c>
      <c r="G119" s="105" t="s">
        <v>343</v>
      </c>
      <c r="H119" s="106" t="s">
        <v>104</v>
      </c>
      <c r="I119" s="107" t="s">
        <v>105</v>
      </c>
      <c r="J119" s="107" t="s">
        <v>347</v>
      </c>
      <c r="K119" s="106" t="s">
        <v>377</v>
      </c>
      <c r="L119" s="107" t="s">
        <v>386</v>
      </c>
      <c r="M119" s="107" t="s">
        <v>378</v>
      </c>
      <c r="N119" s="106" t="s">
        <v>342</v>
      </c>
      <c r="O119" s="107" t="s">
        <v>102</v>
      </c>
      <c r="P119" s="107" t="s">
        <v>343</v>
      </c>
      <c r="Q119" s="106" t="s">
        <v>292</v>
      </c>
      <c r="R119" s="107" t="s">
        <v>102</v>
      </c>
      <c r="S119" s="107" t="s">
        <v>293</v>
      </c>
      <c r="T119" s="107" t="s">
        <v>241</v>
      </c>
      <c r="U119" s="107">
        <v>0</v>
      </c>
      <c r="V119" s="107">
        <v>100</v>
      </c>
      <c r="W119" s="106" t="s">
        <v>380</v>
      </c>
      <c r="X119" s="108">
        <v>0</v>
      </c>
      <c r="Y119" s="108">
        <v>60</v>
      </c>
    </row>
    <row r="120" spans="1:25" ht="12.75">
      <c r="A120" s="103" t="s">
        <v>59</v>
      </c>
      <c r="B120" s="139" t="s">
        <v>100</v>
      </c>
      <c r="C120" s="140" t="s">
        <v>71</v>
      </c>
      <c r="D120" s="140" t="s">
        <v>75</v>
      </c>
      <c r="E120" s="104" t="s">
        <v>342</v>
      </c>
      <c r="F120" s="105" t="s">
        <v>102</v>
      </c>
      <c r="G120" s="105" t="s">
        <v>343</v>
      </c>
      <c r="H120" s="106" t="s">
        <v>104</v>
      </c>
      <c r="I120" s="107" t="s">
        <v>105</v>
      </c>
      <c r="J120" s="107" t="s">
        <v>347</v>
      </c>
      <c r="K120" s="106" t="s">
        <v>192</v>
      </c>
      <c r="L120" s="107" t="s">
        <v>105</v>
      </c>
      <c r="M120" s="107" t="s">
        <v>385</v>
      </c>
      <c r="N120" s="106" t="s">
        <v>341</v>
      </c>
      <c r="O120" s="107" t="s">
        <v>105</v>
      </c>
      <c r="P120" s="107" t="s">
        <v>102</v>
      </c>
      <c r="Q120" s="106" t="s">
        <v>379</v>
      </c>
      <c r="R120" s="107" t="s">
        <v>105</v>
      </c>
      <c r="S120" s="107" t="s">
        <v>343</v>
      </c>
      <c r="T120" s="107" t="s">
        <v>241</v>
      </c>
      <c r="U120" s="107">
        <v>0</v>
      </c>
      <c r="V120" s="107">
        <v>100</v>
      </c>
      <c r="W120" s="106" t="s">
        <v>198</v>
      </c>
      <c r="X120" s="108">
        <v>-100</v>
      </c>
      <c r="Y120" s="108">
        <v>-30</v>
      </c>
    </row>
    <row r="121" spans="1:25" ht="12.75">
      <c r="A121" s="103" t="s">
        <v>251</v>
      </c>
      <c r="B121" s="139" t="s">
        <v>376</v>
      </c>
      <c r="C121" s="140" t="s">
        <v>115</v>
      </c>
      <c r="D121" s="140" t="s">
        <v>116</v>
      </c>
      <c r="E121" s="104" t="s">
        <v>342</v>
      </c>
      <c r="F121" s="105" t="s">
        <v>102</v>
      </c>
      <c r="G121" s="105" t="s">
        <v>343</v>
      </c>
      <c r="H121" s="106" t="s">
        <v>104</v>
      </c>
      <c r="I121" s="107" t="s">
        <v>105</v>
      </c>
      <c r="J121" s="107" t="s">
        <v>347</v>
      </c>
      <c r="K121" s="106" t="s">
        <v>326</v>
      </c>
      <c r="L121" s="107" t="s">
        <v>105</v>
      </c>
      <c r="M121" s="107">
        <v>120</v>
      </c>
      <c r="N121" s="106" t="s">
        <v>341</v>
      </c>
      <c r="O121" s="107" t="s">
        <v>105</v>
      </c>
      <c r="P121" s="107" t="s">
        <v>102</v>
      </c>
      <c r="Q121" s="106" t="s">
        <v>379</v>
      </c>
      <c r="R121" s="107" t="s">
        <v>105</v>
      </c>
      <c r="S121" s="107" t="s">
        <v>343</v>
      </c>
      <c r="T121" s="107" t="s">
        <v>241</v>
      </c>
      <c r="U121" s="107">
        <v>0</v>
      </c>
      <c r="V121" s="107">
        <v>100</v>
      </c>
      <c r="W121" s="106" t="s">
        <v>380</v>
      </c>
      <c r="X121" s="108">
        <v>0</v>
      </c>
      <c r="Y121" s="108">
        <v>60</v>
      </c>
    </row>
    <row r="122" spans="1:25" ht="12.75">
      <c r="A122" s="103" t="s">
        <v>252</v>
      </c>
      <c r="B122" s="139" t="s">
        <v>390</v>
      </c>
      <c r="C122" s="140" t="s">
        <v>70</v>
      </c>
      <c r="D122" s="140" t="s">
        <v>125</v>
      </c>
      <c r="E122" s="104" t="s">
        <v>342</v>
      </c>
      <c r="F122" s="105" t="s">
        <v>102</v>
      </c>
      <c r="G122" s="105" t="s">
        <v>343</v>
      </c>
      <c r="H122" s="106" t="s">
        <v>104</v>
      </c>
      <c r="I122" s="107" t="s">
        <v>105</v>
      </c>
      <c r="J122" s="107" t="s">
        <v>347</v>
      </c>
      <c r="K122" s="106" t="s">
        <v>327</v>
      </c>
      <c r="L122" s="107" t="s">
        <v>105</v>
      </c>
      <c r="M122" s="107">
        <v>100</v>
      </c>
      <c r="N122" s="106" t="s">
        <v>341</v>
      </c>
      <c r="O122" s="107" t="s">
        <v>105</v>
      </c>
      <c r="P122" s="107" t="s">
        <v>102</v>
      </c>
      <c r="Q122" s="106" t="s">
        <v>379</v>
      </c>
      <c r="R122" s="107" t="s">
        <v>105</v>
      </c>
      <c r="S122" s="107" t="s">
        <v>343</v>
      </c>
      <c r="T122" s="107" t="s">
        <v>241</v>
      </c>
      <c r="U122" s="107">
        <v>0</v>
      </c>
      <c r="V122" s="107">
        <v>100</v>
      </c>
      <c r="W122" s="106" t="s">
        <v>380</v>
      </c>
      <c r="X122" s="108">
        <v>0</v>
      </c>
      <c r="Y122" s="108">
        <v>60</v>
      </c>
    </row>
    <row r="123" spans="1:25" ht="12.75">
      <c r="A123" s="103" t="s">
        <v>17</v>
      </c>
      <c r="B123" s="139" t="s">
        <v>391</v>
      </c>
      <c r="C123" s="140" t="s">
        <v>75</v>
      </c>
      <c r="D123" s="140" t="s">
        <v>76</v>
      </c>
      <c r="E123" s="104" t="s">
        <v>342</v>
      </c>
      <c r="F123" s="105" t="s">
        <v>102</v>
      </c>
      <c r="G123" s="105" t="s">
        <v>343</v>
      </c>
      <c r="H123" s="106" t="s">
        <v>104</v>
      </c>
      <c r="I123" s="107" t="s">
        <v>105</v>
      </c>
      <c r="J123" s="107" t="s">
        <v>347</v>
      </c>
      <c r="K123" s="106" t="s">
        <v>192</v>
      </c>
      <c r="L123" s="107" t="s">
        <v>105</v>
      </c>
      <c r="M123" s="107" t="s">
        <v>385</v>
      </c>
      <c r="N123" s="106" t="s">
        <v>341</v>
      </c>
      <c r="O123" s="107" t="s">
        <v>105</v>
      </c>
      <c r="P123" s="107" t="s">
        <v>102</v>
      </c>
      <c r="Q123" s="106" t="s">
        <v>379</v>
      </c>
      <c r="R123" s="107" t="s">
        <v>105</v>
      </c>
      <c r="S123" s="107" t="s">
        <v>343</v>
      </c>
      <c r="T123" s="107" t="s">
        <v>241</v>
      </c>
      <c r="U123" s="107">
        <v>0</v>
      </c>
      <c r="V123" s="107">
        <v>100</v>
      </c>
      <c r="W123" s="106" t="s">
        <v>198</v>
      </c>
      <c r="X123" s="108">
        <v>-100</v>
      </c>
      <c r="Y123" s="108">
        <v>-30</v>
      </c>
    </row>
    <row r="124" spans="1:25" ht="12.75">
      <c r="A124" s="103" t="s">
        <v>18</v>
      </c>
      <c r="B124" s="139" t="s">
        <v>391</v>
      </c>
      <c r="C124" s="140" t="s">
        <v>75</v>
      </c>
      <c r="D124" s="140" t="s">
        <v>76</v>
      </c>
      <c r="E124" s="104" t="s">
        <v>342</v>
      </c>
      <c r="F124" s="105" t="s">
        <v>102</v>
      </c>
      <c r="G124" s="105" t="s">
        <v>343</v>
      </c>
      <c r="H124" s="106" t="s">
        <v>104</v>
      </c>
      <c r="I124" s="107" t="s">
        <v>105</v>
      </c>
      <c r="J124" s="107" t="s">
        <v>347</v>
      </c>
      <c r="K124" s="106" t="s">
        <v>192</v>
      </c>
      <c r="L124" s="107" t="s">
        <v>105</v>
      </c>
      <c r="M124" s="107" t="s">
        <v>385</v>
      </c>
      <c r="N124" s="106" t="s">
        <v>341</v>
      </c>
      <c r="O124" s="107" t="s">
        <v>105</v>
      </c>
      <c r="P124" s="107" t="s">
        <v>102</v>
      </c>
      <c r="Q124" s="106" t="s">
        <v>379</v>
      </c>
      <c r="R124" s="107" t="s">
        <v>105</v>
      </c>
      <c r="S124" s="107" t="s">
        <v>343</v>
      </c>
      <c r="T124" s="107" t="s">
        <v>241</v>
      </c>
      <c r="U124" s="107">
        <v>0</v>
      </c>
      <c r="V124" s="107">
        <v>100</v>
      </c>
      <c r="W124" s="106" t="s">
        <v>198</v>
      </c>
      <c r="X124" s="108">
        <v>-100</v>
      </c>
      <c r="Y124" s="108">
        <v>-30</v>
      </c>
    </row>
    <row r="125" spans="1:25" ht="12.75">
      <c r="A125" s="103" t="s">
        <v>80</v>
      </c>
      <c r="B125" s="139" t="s">
        <v>391</v>
      </c>
      <c r="C125" s="140" t="s">
        <v>75</v>
      </c>
      <c r="D125" s="140" t="s">
        <v>76</v>
      </c>
      <c r="E125" s="104" t="s">
        <v>342</v>
      </c>
      <c r="F125" s="105" t="s">
        <v>102</v>
      </c>
      <c r="G125" s="105" t="s">
        <v>343</v>
      </c>
      <c r="H125" s="106" t="s">
        <v>104</v>
      </c>
      <c r="I125" s="107" t="s">
        <v>105</v>
      </c>
      <c r="J125" s="107" t="s">
        <v>347</v>
      </c>
      <c r="K125" s="106" t="s">
        <v>192</v>
      </c>
      <c r="L125" s="107" t="s">
        <v>105</v>
      </c>
      <c r="M125" s="107" t="s">
        <v>385</v>
      </c>
      <c r="N125" s="106" t="s">
        <v>341</v>
      </c>
      <c r="O125" s="107" t="s">
        <v>105</v>
      </c>
      <c r="P125" s="107" t="s">
        <v>102</v>
      </c>
      <c r="Q125" s="106" t="s">
        <v>379</v>
      </c>
      <c r="R125" s="107" t="s">
        <v>105</v>
      </c>
      <c r="S125" s="107" t="s">
        <v>343</v>
      </c>
      <c r="T125" s="107" t="s">
        <v>241</v>
      </c>
      <c r="U125" s="107">
        <v>0</v>
      </c>
      <c r="V125" s="107">
        <v>100</v>
      </c>
      <c r="W125" s="106" t="s">
        <v>198</v>
      </c>
      <c r="X125" s="108">
        <v>-100</v>
      </c>
      <c r="Y125" s="108">
        <v>-30</v>
      </c>
    </row>
    <row r="126" spans="1:25" ht="12.75">
      <c r="A126" s="103" t="s">
        <v>81</v>
      </c>
      <c r="B126" s="139" t="s">
        <v>298</v>
      </c>
      <c r="C126" s="140" t="s">
        <v>73</v>
      </c>
      <c r="D126" s="140" t="s">
        <v>76</v>
      </c>
      <c r="E126" s="104" t="s">
        <v>342</v>
      </c>
      <c r="F126" s="105" t="s">
        <v>102</v>
      </c>
      <c r="G126" s="105" t="s">
        <v>343</v>
      </c>
      <c r="H126" s="106" t="s">
        <v>104</v>
      </c>
      <c r="I126" s="107" t="s">
        <v>105</v>
      </c>
      <c r="J126" s="107" t="s">
        <v>347</v>
      </c>
      <c r="K126" s="106" t="s">
        <v>192</v>
      </c>
      <c r="L126" s="107" t="s">
        <v>105</v>
      </c>
      <c r="M126" s="107" t="s">
        <v>385</v>
      </c>
      <c r="N126" s="106" t="s">
        <v>341</v>
      </c>
      <c r="O126" s="107" t="s">
        <v>105</v>
      </c>
      <c r="P126" s="107" t="s">
        <v>102</v>
      </c>
      <c r="Q126" s="106" t="s">
        <v>379</v>
      </c>
      <c r="R126" s="107" t="s">
        <v>105</v>
      </c>
      <c r="S126" s="107" t="s">
        <v>343</v>
      </c>
      <c r="T126" s="107" t="s">
        <v>241</v>
      </c>
      <c r="U126" s="107">
        <v>0</v>
      </c>
      <c r="V126" s="107">
        <v>100</v>
      </c>
      <c r="W126" s="106" t="s">
        <v>193</v>
      </c>
      <c r="X126" s="108">
        <v>-30</v>
      </c>
      <c r="Y126" s="108">
        <v>0</v>
      </c>
    </row>
    <row r="127" spans="1:25" ht="12.75">
      <c r="A127" s="103" t="s">
        <v>82</v>
      </c>
      <c r="B127" s="139" t="s">
        <v>399</v>
      </c>
      <c r="C127" s="140" t="s">
        <v>115</v>
      </c>
      <c r="D127" s="140" t="s">
        <v>77</v>
      </c>
      <c r="E127" s="104" t="s">
        <v>342</v>
      </c>
      <c r="F127" s="105" t="s">
        <v>102</v>
      </c>
      <c r="G127" s="105" t="s">
        <v>343</v>
      </c>
      <c r="H127" s="106" t="s">
        <v>104</v>
      </c>
      <c r="I127" s="107" t="s">
        <v>105</v>
      </c>
      <c r="J127" s="107" t="s">
        <v>347</v>
      </c>
      <c r="K127" s="106" t="s">
        <v>377</v>
      </c>
      <c r="L127" s="107" t="s">
        <v>386</v>
      </c>
      <c r="M127" s="107" t="s">
        <v>378</v>
      </c>
      <c r="N127" s="106" t="s">
        <v>342</v>
      </c>
      <c r="O127" s="107" t="s">
        <v>102</v>
      </c>
      <c r="P127" s="107" t="s">
        <v>343</v>
      </c>
      <c r="Q127" s="106" t="s">
        <v>292</v>
      </c>
      <c r="R127" s="107" t="s">
        <v>102</v>
      </c>
      <c r="S127" s="107" t="s">
        <v>293</v>
      </c>
      <c r="T127" s="107" t="s">
        <v>241</v>
      </c>
      <c r="U127" s="107">
        <v>0</v>
      </c>
      <c r="V127" s="107">
        <v>100</v>
      </c>
      <c r="W127" s="106" t="s">
        <v>380</v>
      </c>
      <c r="X127" s="108">
        <v>0</v>
      </c>
      <c r="Y127" s="108">
        <v>60</v>
      </c>
    </row>
    <row r="128" spans="1:25" ht="12.75">
      <c r="A128" s="103" t="s">
        <v>83</v>
      </c>
      <c r="B128" s="139" t="s">
        <v>149</v>
      </c>
      <c r="C128" s="140" t="s">
        <v>32</v>
      </c>
      <c r="D128" s="140" t="s">
        <v>33</v>
      </c>
      <c r="E128" s="104" t="s">
        <v>342</v>
      </c>
      <c r="F128" s="105" t="s">
        <v>102</v>
      </c>
      <c r="G128" s="105" t="s">
        <v>343</v>
      </c>
      <c r="H128" s="106" t="s">
        <v>104</v>
      </c>
      <c r="I128" s="107" t="s">
        <v>105</v>
      </c>
      <c r="J128" s="107" t="s">
        <v>347</v>
      </c>
      <c r="K128" s="106" t="s">
        <v>348</v>
      </c>
      <c r="L128" s="107" t="s">
        <v>105</v>
      </c>
      <c r="M128" s="107" t="s">
        <v>386</v>
      </c>
      <c r="N128" s="106" t="s">
        <v>342</v>
      </c>
      <c r="O128" s="107" t="s">
        <v>102</v>
      </c>
      <c r="P128" s="107" t="s">
        <v>343</v>
      </c>
      <c r="Q128" s="106" t="s">
        <v>342</v>
      </c>
      <c r="R128" s="107" t="s">
        <v>102</v>
      </c>
      <c r="S128" s="107" t="s">
        <v>343</v>
      </c>
      <c r="T128" s="107" t="s">
        <v>241</v>
      </c>
      <c r="U128" s="107">
        <v>0</v>
      </c>
      <c r="V128" s="107">
        <v>100</v>
      </c>
      <c r="W128" s="106" t="s">
        <v>193</v>
      </c>
      <c r="X128" s="108">
        <v>-30</v>
      </c>
      <c r="Y128" s="108">
        <v>0</v>
      </c>
    </row>
    <row r="129" spans="1:25" ht="12.75">
      <c r="A129" s="103" t="s">
        <v>84</v>
      </c>
      <c r="B129" s="139" t="s">
        <v>375</v>
      </c>
      <c r="C129" s="140" t="s">
        <v>34</v>
      </c>
      <c r="D129" s="140" t="s">
        <v>35</v>
      </c>
      <c r="E129" s="104" t="s">
        <v>342</v>
      </c>
      <c r="F129" s="105" t="s">
        <v>102</v>
      </c>
      <c r="G129" s="105" t="s">
        <v>343</v>
      </c>
      <c r="H129" s="106" t="s">
        <v>104</v>
      </c>
      <c r="I129" s="107" t="s">
        <v>105</v>
      </c>
      <c r="J129" s="107" t="s">
        <v>347</v>
      </c>
      <c r="K129" s="106" t="s">
        <v>348</v>
      </c>
      <c r="L129" s="107" t="s">
        <v>105</v>
      </c>
      <c r="M129" s="107" t="s">
        <v>386</v>
      </c>
      <c r="N129" s="106" t="s">
        <v>342</v>
      </c>
      <c r="O129" s="107" t="s">
        <v>102</v>
      </c>
      <c r="P129" s="107" t="s">
        <v>343</v>
      </c>
      <c r="Q129" s="106" t="s">
        <v>342</v>
      </c>
      <c r="R129" s="107" t="s">
        <v>102</v>
      </c>
      <c r="S129" s="107" t="s">
        <v>343</v>
      </c>
      <c r="T129" s="107" t="s">
        <v>241</v>
      </c>
      <c r="U129" s="107">
        <v>0</v>
      </c>
      <c r="V129" s="107">
        <v>100</v>
      </c>
      <c r="W129" s="106" t="s">
        <v>193</v>
      </c>
      <c r="X129" s="108">
        <v>-30</v>
      </c>
      <c r="Y129" s="108">
        <v>0</v>
      </c>
    </row>
    <row r="130" spans="1:25" ht="12.75">
      <c r="A130" s="103" t="s">
        <v>90</v>
      </c>
      <c r="B130" s="139" t="s">
        <v>231</v>
      </c>
      <c r="C130" s="140" t="s">
        <v>137</v>
      </c>
      <c r="D130" s="140" t="s">
        <v>63</v>
      </c>
      <c r="E130" s="104" t="s">
        <v>288</v>
      </c>
      <c r="F130" s="105" t="s">
        <v>102</v>
      </c>
      <c r="G130" s="105" t="s">
        <v>289</v>
      </c>
      <c r="H130" s="106" t="s">
        <v>104</v>
      </c>
      <c r="I130" s="107" t="s">
        <v>105</v>
      </c>
      <c r="J130" s="107" t="s">
        <v>347</v>
      </c>
      <c r="K130" s="106" t="s">
        <v>315</v>
      </c>
      <c r="L130" s="107" t="s">
        <v>378</v>
      </c>
      <c r="M130" s="107" t="s">
        <v>195</v>
      </c>
      <c r="N130" s="106" t="s">
        <v>292</v>
      </c>
      <c r="O130" s="107" t="s">
        <v>102</v>
      </c>
      <c r="P130" s="107" t="s">
        <v>293</v>
      </c>
      <c r="Q130" s="106" t="s">
        <v>292</v>
      </c>
      <c r="R130" s="107" t="s">
        <v>102</v>
      </c>
      <c r="S130" s="107" t="s">
        <v>293</v>
      </c>
      <c r="T130" s="107" t="s">
        <v>241</v>
      </c>
      <c r="U130" s="107">
        <v>0</v>
      </c>
      <c r="V130" s="107">
        <v>100</v>
      </c>
      <c r="W130" s="106" t="s">
        <v>315</v>
      </c>
      <c r="X130" s="108">
        <v>120</v>
      </c>
      <c r="Y130" s="108">
        <v>200</v>
      </c>
    </row>
    <row r="131" spans="1:25" ht="12.75">
      <c r="A131" s="103" t="s">
        <v>91</v>
      </c>
      <c r="B131" s="139" t="s">
        <v>413</v>
      </c>
      <c r="C131" s="140" t="s">
        <v>304</v>
      </c>
      <c r="D131" s="140" t="s">
        <v>63</v>
      </c>
      <c r="E131" s="104" t="s">
        <v>342</v>
      </c>
      <c r="F131" s="105" t="s">
        <v>102</v>
      </c>
      <c r="G131" s="105" t="s">
        <v>343</v>
      </c>
      <c r="H131" s="106" t="s">
        <v>104</v>
      </c>
      <c r="I131" s="107" t="s">
        <v>105</v>
      </c>
      <c r="J131" s="107" t="s">
        <v>347</v>
      </c>
      <c r="K131" s="106" t="s">
        <v>377</v>
      </c>
      <c r="L131" s="107" t="s">
        <v>386</v>
      </c>
      <c r="M131" s="107" t="s">
        <v>378</v>
      </c>
      <c r="N131" s="106" t="s">
        <v>342</v>
      </c>
      <c r="O131" s="107" t="s">
        <v>102</v>
      </c>
      <c r="P131" s="107" t="s">
        <v>343</v>
      </c>
      <c r="Q131" s="106" t="s">
        <v>292</v>
      </c>
      <c r="R131" s="107" t="s">
        <v>102</v>
      </c>
      <c r="S131" s="107" t="s">
        <v>293</v>
      </c>
      <c r="T131" s="107" t="s">
        <v>241</v>
      </c>
      <c r="U131" s="107">
        <v>0</v>
      </c>
      <c r="V131" s="107">
        <v>100</v>
      </c>
      <c r="W131" s="106" t="s">
        <v>380</v>
      </c>
      <c r="X131" s="108">
        <v>0</v>
      </c>
      <c r="Y131" s="108">
        <v>60</v>
      </c>
    </row>
    <row r="132" spans="1:25" ht="12.75">
      <c r="A132" s="103" t="s">
        <v>92</v>
      </c>
      <c r="B132" s="139" t="s">
        <v>414</v>
      </c>
      <c r="C132" s="140" t="s">
        <v>67</v>
      </c>
      <c r="D132" s="140" t="s">
        <v>60</v>
      </c>
      <c r="E132" s="104" t="s">
        <v>342</v>
      </c>
      <c r="F132" s="105" t="s">
        <v>102</v>
      </c>
      <c r="G132" s="105" t="s">
        <v>343</v>
      </c>
      <c r="H132" s="106" t="s">
        <v>104</v>
      </c>
      <c r="I132" s="107" t="s">
        <v>105</v>
      </c>
      <c r="J132" s="107" t="s">
        <v>347</v>
      </c>
      <c r="K132" s="106" t="s">
        <v>377</v>
      </c>
      <c r="L132" s="107" t="s">
        <v>386</v>
      </c>
      <c r="M132" s="107" t="s">
        <v>378</v>
      </c>
      <c r="N132" s="106" t="s">
        <v>342</v>
      </c>
      <c r="O132" s="107" t="s">
        <v>102</v>
      </c>
      <c r="P132" s="107" t="s">
        <v>343</v>
      </c>
      <c r="Q132" s="106" t="s">
        <v>292</v>
      </c>
      <c r="R132" s="107" t="s">
        <v>102</v>
      </c>
      <c r="S132" s="107" t="s">
        <v>293</v>
      </c>
      <c r="T132" s="107" t="s">
        <v>241</v>
      </c>
      <c r="U132" s="107">
        <v>0</v>
      </c>
      <c r="V132" s="107">
        <v>100</v>
      </c>
      <c r="W132" s="106" t="s">
        <v>380</v>
      </c>
      <c r="X132" s="108">
        <v>0</v>
      </c>
      <c r="Y132" s="108">
        <v>60</v>
      </c>
    </row>
    <row r="133" spans="1:25" ht="12.75">
      <c r="A133" s="103" t="s">
        <v>415</v>
      </c>
      <c r="B133" s="139" t="s">
        <v>352</v>
      </c>
      <c r="C133" s="140" t="s">
        <v>23</v>
      </c>
      <c r="D133" s="140" t="s">
        <v>309</v>
      </c>
      <c r="E133" s="104" t="s">
        <v>342</v>
      </c>
      <c r="F133" s="105" t="s">
        <v>102</v>
      </c>
      <c r="G133" s="105" t="s">
        <v>343</v>
      </c>
      <c r="H133" s="106" t="s">
        <v>104</v>
      </c>
      <c r="I133" s="107" t="s">
        <v>105</v>
      </c>
      <c r="J133" s="107" t="s">
        <v>347</v>
      </c>
      <c r="K133" s="106" t="s">
        <v>377</v>
      </c>
      <c r="L133" s="107" t="s">
        <v>386</v>
      </c>
      <c r="M133" s="107" t="s">
        <v>378</v>
      </c>
      <c r="N133" s="106" t="s">
        <v>342</v>
      </c>
      <c r="O133" s="107" t="s">
        <v>102</v>
      </c>
      <c r="P133" s="107" t="s">
        <v>343</v>
      </c>
      <c r="Q133" s="106" t="s">
        <v>292</v>
      </c>
      <c r="R133" s="107" t="s">
        <v>102</v>
      </c>
      <c r="S133" s="107" t="s">
        <v>293</v>
      </c>
      <c r="T133" s="107" t="s">
        <v>241</v>
      </c>
      <c r="U133" s="107">
        <v>0</v>
      </c>
      <c r="V133" s="107">
        <v>100</v>
      </c>
      <c r="W133" s="106" t="s">
        <v>380</v>
      </c>
      <c r="X133" s="108">
        <v>0</v>
      </c>
      <c r="Y133" s="108">
        <v>60</v>
      </c>
    </row>
  </sheetData>
  <sheetProtection password="EFC8" scenario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Defenestrative Publishing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Palmers</dc:creator>
  <cp:keywords/>
  <dc:description/>
  <cp:lastModifiedBy>John Palmer</cp:lastModifiedBy>
  <dcterms:created xsi:type="dcterms:W3CDTF">2006-10-15T17:11:06Z</dcterms:created>
  <dcterms:modified xsi:type="dcterms:W3CDTF">2015-11-30T20:07:12Z</dcterms:modified>
  <cp:category/>
  <cp:version/>
  <cp:contentType/>
  <cp:contentStatus/>
</cp:coreProperties>
</file>