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updateLinks="always" codeName="ThisWorkbook" defaultThemeVersion="166925"/>
  <mc:AlternateContent xmlns:mc="http://schemas.openxmlformats.org/markup-compatibility/2006">
    <mc:Choice Requires="x15">
      <x15ac:absPath xmlns:x15ac="http://schemas.microsoft.com/office/spreadsheetml/2010/11/ac" url="/Users/arnaudgantenbein/Dropbox/Projets/Bière/Batchs/Faits/"/>
    </mc:Choice>
  </mc:AlternateContent>
  <xr:revisionPtr revIDLastSave="0" documentId="13_ncr:1_{785239E4-17A7-374D-8637-7D3B8E374C6D}" xr6:coauthVersionLast="45" xr6:coauthVersionMax="45" xr10:uidLastSave="{00000000-0000-0000-0000-000000000000}"/>
  <bookViews>
    <workbookView xWindow="44300" yWindow="460" windowWidth="28800" windowHeight="17540" activeTab="2" xr2:uid="{510DB4F3-D4AC-8247-892A-6EB9448C70FF}"/>
  </bookViews>
  <sheets>
    <sheet name="Conversion" sheetId="5" state="hidden" r:id="rId1"/>
    <sheet name="Recette" sheetId="12" r:id="rId2"/>
    <sheet name="Batch" sheetId="1" r:id="rId3"/>
    <sheet name="FicheFermentation" sheetId="14" r:id="rId4"/>
    <sheet name="Etiquettes" sheetId="3" r:id="rId5"/>
    <sheet name="Notes Dégustation" sheetId="6" r:id="rId6"/>
    <sheet name="Waterprofile" sheetId="9" state="hidden" r:id="rId7"/>
    <sheet name="BDD-Houlbons" sheetId="8" state="hidden" r:id="rId8"/>
    <sheet name="Styles" sheetId="7" state="hidden" r:id="rId9"/>
    <sheet name="BDD" sheetId="4" r:id="rId10"/>
    <sheet name="BDD Malt Beersmith" sheetId="10" state="hidden" r:id="rId11"/>
    <sheet name="BeerStyles" sheetId="13" state="hidden" r:id="rId12"/>
  </sheets>
  <definedNames>
    <definedName name="_xlnm.Print_Area" localSheetId="3">FicheFermentation!$A$1:$I$62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2" i="1" l="1"/>
  <c r="D70" i="1" l="1"/>
  <c r="F84" i="1" l="1"/>
  <c r="F85" i="1"/>
  <c r="E84" i="1"/>
  <c r="E85" i="1"/>
  <c r="N61" i="1" l="1"/>
  <c r="AB147" i="1" l="1"/>
  <c r="X149" i="1"/>
  <c r="Z148" i="1"/>
  <c r="AB148" i="1" l="1"/>
  <c r="AA148" i="1"/>
  <c r="AB149" i="1" s="1"/>
  <c r="AA147" i="1"/>
  <c r="AD24" i="1"/>
  <c r="J37" i="1"/>
  <c r="H73" i="10"/>
  <c r="J24" i="1"/>
  <c r="V83" i="1"/>
  <c r="V84" i="1"/>
  <c r="V85" i="1"/>
  <c r="V86" i="1"/>
  <c r="V87" i="1"/>
  <c r="Y83" i="1"/>
  <c r="Y84" i="1"/>
  <c r="Y85" i="1"/>
  <c r="Y86" i="1"/>
  <c r="Y87" i="1"/>
  <c r="AB83" i="1"/>
  <c r="AB84" i="1"/>
  <c r="AB85" i="1"/>
  <c r="AB86" i="1"/>
  <c r="AB87" i="1"/>
  <c r="AA83" i="1"/>
  <c r="AA84" i="1"/>
  <c r="AA85" i="1"/>
  <c r="AD85" i="1" s="1"/>
  <c r="AA86" i="1"/>
  <c r="AA87" i="1"/>
  <c r="AD87" i="1" s="1"/>
  <c r="I82" i="1"/>
  <c r="G54" i="14" s="1"/>
  <c r="I83" i="1"/>
  <c r="G55" i="14" s="1"/>
  <c r="I84" i="1"/>
  <c r="G56" i="14" s="1"/>
  <c r="I85" i="1"/>
  <c r="G57" i="14" s="1"/>
  <c r="I86" i="1"/>
  <c r="G58" i="14" s="1"/>
  <c r="I87" i="1"/>
  <c r="G59" i="14" s="1"/>
  <c r="I88" i="1"/>
  <c r="G60" i="14" s="1"/>
  <c r="I89" i="1"/>
  <c r="G61" i="14" s="1"/>
  <c r="I90" i="1"/>
  <c r="G62" i="14" s="1"/>
  <c r="H83" i="1"/>
  <c r="F55" i="14" s="1"/>
  <c r="H84" i="1"/>
  <c r="F56" i="14" s="1"/>
  <c r="H85" i="1"/>
  <c r="F57" i="14" s="1"/>
  <c r="H86" i="1"/>
  <c r="F58" i="14" s="1"/>
  <c r="H87" i="1"/>
  <c r="F59" i="14" s="1"/>
  <c r="H88" i="1"/>
  <c r="F60" i="14" s="1"/>
  <c r="H89" i="1"/>
  <c r="F61" i="14" s="1"/>
  <c r="H90" i="1"/>
  <c r="F62" i="14" s="1"/>
  <c r="G83" i="1"/>
  <c r="E55" i="14" s="1"/>
  <c r="G84" i="1"/>
  <c r="E56" i="14" s="1"/>
  <c r="G85" i="1"/>
  <c r="E57" i="14" s="1"/>
  <c r="G86" i="1"/>
  <c r="E58" i="14" s="1"/>
  <c r="G87" i="1"/>
  <c r="E59" i="14" s="1"/>
  <c r="G88" i="1"/>
  <c r="E60" i="14" s="1"/>
  <c r="G89" i="1"/>
  <c r="E61" i="14" s="1"/>
  <c r="G90" i="1"/>
  <c r="E62" i="14" s="1"/>
  <c r="F83" i="1"/>
  <c r="D55" i="14" s="1"/>
  <c r="D56" i="14"/>
  <c r="D57" i="14"/>
  <c r="F86" i="1"/>
  <c r="D58" i="14" s="1"/>
  <c r="F87" i="1"/>
  <c r="D59" i="14" s="1"/>
  <c r="F88" i="1"/>
  <c r="D60" i="14" s="1"/>
  <c r="F89" i="1"/>
  <c r="D61" i="14" s="1"/>
  <c r="F90" i="1"/>
  <c r="D62" i="14" s="1"/>
  <c r="E83" i="1"/>
  <c r="C55" i="14" s="1"/>
  <c r="C56" i="14"/>
  <c r="C57" i="14"/>
  <c r="E86" i="1"/>
  <c r="C58" i="14" s="1"/>
  <c r="E87" i="1"/>
  <c r="C59" i="14" s="1"/>
  <c r="E88" i="1"/>
  <c r="C60" i="14" s="1"/>
  <c r="E89" i="1"/>
  <c r="C61" i="14" s="1"/>
  <c r="B83" i="1"/>
  <c r="B55" i="14" s="1"/>
  <c r="F30" i="14" s="1"/>
  <c r="B84" i="1"/>
  <c r="B56" i="14" s="1"/>
  <c r="F31" i="14" s="1"/>
  <c r="B85" i="1"/>
  <c r="B57" i="14" s="1"/>
  <c r="F32" i="14" s="1"/>
  <c r="B86" i="1"/>
  <c r="B58" i="14" s="1"/>
  <c r="F33" i="14" s="1"/>
  <c r="B87" i="1"/>
  <c r="B59" i="14" s="1"/>
  <c r="F34" i="14" s="1"/>
  <c r="B88" i="1"/>
  <c r="B60" i="14" s="1"/>
  <c r="F35" i="14" s="1"/>
  <c r="B89" i="1"/>
  <c r="B61" i="14" s="1"/>
  <c r="F36" i="14" s="1"/>
  <c r="B90" i="1"/>
  <c r="B62" i="14" s="1"/>
  <c r="F37" i="14" s="1"/>
  <c r="D53" i="12"/>
  <c r="J53" i="12" s="1"/>
  <c r="D54" i="12"/>
  <c r="M54" i="12" s="1"/>
  <c r="D55" i="12"/>
  <c r="M55" i="12" s="1"/>
  <c r="H115" i="12"/>
  <c r="D115" i="12"/>
  <c r="E115" i="12"/>
  <c r="F115" i="12"/>
  <c r="G115" i="12"/>
  <c r="I115" i="12"/>
  <c r="J21" i="1"/>
  <c r="F82" i="1"/>
  <c r="D54" i="14" s="1"/>
  <c r="AA82" i="1"/>
  <c r="C46" i="14"/>
  <c r="B6" i="14"/>
  <c r="B5" i="14"/>
  <c r="I23" i="14"/>
  <c r="I24" i="14"/>
  <c r="I25" i="14"/>
  <c r="I26" i="14"/>
  <c r="I27" i="14"/>
  <c r="I22" i="14"/>
  <c r="G23" i="14"/>
  <c r="D35" i="14"/>
  <c r="B22" i="14"/>
  <c r="B36" i="14"/>
  <c r="B35" i="14"/>
  <c r="B23" i="14"/>
  <c r="B24" i="14"/>
  <c r="B25" i="14"/>
  <c r="B26" i="14"/>
  <c r="B27" i="14"/>
  <c r="B28" i="14"/>
  <c r="B29" i="14"/>
  <c r="B30" i="14"/>
  <c r="B31" i="14"/>
  <c r="B32" i="14"/>
  <c r="B33" i="14"/>
  <c r="B34" i="14"/>
  <c r="B37" i="14"/>
  <c r="B43" i="14"/>
  <c r="G33" i="14" l="1"/>
  <c r="D85" i="1"/>
  <c r="K55" i="12"/>
  <c r="J55" i="12"/>
  <c r="K54" i="12"/>
  <c r="J54" i="12"/>
  <c r="M53" i="12"/>
  <c r="K53" i="12"/>
  <c r="D87" i="1"/>
  <c r="D86" i="1"/>
  <c r="G36" i="14"/>
  <c r="G34" i="14"/>
  <c r="G32" i="14"/>
  <c r="G30" i="14"/>
  <c r="G35" i="14"/>
  <c r="G31" i="14"/>
  <c r="D52" i="12"/>
  <c r="D84" i="1" s="1"/>
  <c r="D56" i="12"/>
  <c r="D88" i="1" s="1"/>
  <c r="D57" i="12"/>
  <c r="D89" i="1" s="1"/>
  <c r="D50" i="12"/>
  <c r="M84" i="1" l="1"/>
  <c r="K86" i="1"/>
  <c r="J86" i="1"/>
  <c r="M86" i="1"/>
  <c r="J85" i="1"/>
  <c r="M85" i="1"/>
  <c r="K85"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D16" i="14" l="1"/>
  <c r="D15" i="14"/>
  <c r="D14" i="14"/>
  <c r="D13" i="14"/>
  <c r="D12" i="14"/>
  <c r="E152" i="1"/>
  <c r="V125" i="12" l="1"/>
  <c r="V126" i="12"/>
  <c r="H40" i="10" l="1"/>
  <c r="S21" i="12" l="1"/>
  <c r="S22" i="12"/>
  <c r="S23" i="12"/>
  <c r="S24" i="12"/>
  <c r="S25" i="12"/>
  <c r="S26" i="12"/>
  <c r="S27" i="12"/>
  <c r="S28" i="12"/>
  <c r="S29" i="12"/>
  <c r="S33" i="12"/>
  <c r="S34" i="12"/>
  <c r="S35" i="12"/>
  <c r="AB82" i="1" l="1"/>
  <c r="U16" i="12" l="1"/>
  <c r="S16" i="12" s="1"/>
  <c r="U17" i="12"/>
  <c r="S17" i="12" s="1"/>
  <c r="U18" i="12"/>
  <c r="S18" i="12" s="1"/>
  <c r="U19" i="12"/>
  <c r="S19" i="12" s="1"/>
  <c r="U20" i="12"/>
  <c r="S20" i="12" s="1"/>
  <c r="U21" i="12"/>
  <c r="U22" i="12"/>
  <c r="U23" i="12"/>
  <c r="U24" i="12"/>
  <c r="U25" i="12"/>
  <c r="U26" i="12"/>
  <c r="U27" i="12"/>
  <c r="U28" i="12"/>
  <c r="U29" i="12"/>
  <c r="U31" i="12"/>
  <c r="S31" i="12" s="1"/>
  <c r="U32" i="12"/>
  <c r="S32" i="12" s="1"/>
  <c r="U33" i="12"/>
  <c r="U34" i="12"/>
  <c r="U35" i="12"/>
  <c r="U15" i="12"/>
  <c r="S15" i="12" s="1"/>
  <c r="H152" i="1" l="1"/>
  <c r="I152" i="1" s="1"/>
  <c r="M152" i="1" s="1"/>
  <c r="D83" i="1"/>
  <c r="G26" i="12"/>
  <c r="G27" i="12"/>
  <c r="G28" i="12"/>
  <c r="G29" i="12"/>
  <c r="G33" i="12"/>
  <c r="G34" i="12"/>
  <c r="G35" i="12"/>
  <c r="G21" i="12"/>
  <c r="G22" i="12"/>
  <c r="G23" i="12"/>
  <c r="G24" i="12"/>
  <c r="G25" i="12"/>
  <c r="T16" i="12"/>
  <c r="G16" i="12" s="1"/>
  <c r="T17" i="12"/>
  <c r="G17" i="12" s="1"/>
  <c r="T18" i="12"/>
  <c r="G18" i="12" s="1"/>
  <c r="T19" i="12"/>
  <c r="G19" i="12" s="1"/>
  <c r="T20" i="12"/>
  <c r="G20" i="12" s="1"/>
  <c r="T21" i="12"/>
  <c r="T22" i="12"/>
  <c r="T23" i="12"/>
  <c r="T24" i="12"/>
  <c r="T25" i="12"/>
  <c r="T26" i="12"/>
  <c r="T27" i="12"/>
  <c r="T28" i="12"/>
  <c r="T29" i="12"/>
  <c r="T31" i="12"/>
  <c r="G31" i="12" s="1"/>
  <c r="T32" i="12"/>
  <c r="G32" i="12" s="1"/>
  <c r="T33" i="12"/>
  <c r="T34" i="12"/>
  <c r="T35" i="12"/>
  <c r="T15" i="12"/>
  <c r="G15" i="12" s="1"/>
  <c r="H2" i="10"/>
  <c r="D80" i="1"/>
  <c r="E81" i="1"/>
  <c r="C52" i="14" s="1"/>
  <c r="E82" i="1"/>
  <c r="C2" i="1"/>
  <c r="C54" i="14" l="1"/>
  <c r="G36" i="12"/>
  <c r="G30" i="12"/>
  <c r="Y82" i="1"/>
  <c r="V82" i="1"/>
  <c r="H49" i="12"/>
  <c r="F81" i="1"/>
  <c r="D52" i="14" s="1"/>
  <c r="G81" i="1"/>
  <c r="E52" i="14" s="1"/>
  <c r="H81" i="1"/>
  <c r="F52" i="14" s="1"/>
  <c r="J117" i="12" l="1"/>
  <c r="E70" i="1"/>
  <c r="D46" i="14" s="1"/>
  <c r="E71" i="1"/>
  <c r="D47" i="14" s="1"/>
  <c r="E72" i="1"/>
  <c r="D48" i="14" s="1"/>
  <c r="E73" i="1"/>
  <c r="D49" i="14" s="1"/>
  <c r="D71" i="1"/>
  <c r="C47" i="14" s="1"/>
  <c r="D72" i="1"/>
  <c r="C48" i="14" s="1"/>
  <c r="D73" i="1"/>
  <c r="C49" i="14" s="1"/>
  <c r="D130" i="12"/>
  <c r="D131" i="12" s="1"/>
  <c r="Z54" i="1"/>
  <c r="K8" i="1"/>
  <c r="Y10" i="1"/>
  <c r="G5" i="6"/>
  <c r="D5" i="6"/>
  <c r="D38" i="1"/>
  <c r="D39" i="1"/>
  <c r="B40" i="14" s="1"/>
  <c r="D40" i="1"/>
  <c r="B41" i="14" s="1"/>
  <c r="D41" i="1"/>
  <c r="B42" i="14" s="1"/>
  <c r="E9" i="1"/>
  <c r="H9" i="1" s="1"/>
  <c r="AD93" i="1"/>
  <c r="AD94" i="1"/>
  <c r="AD98" i="1"/>
  <c r="AD99" i="1"/>
  <c r="AD100" i="1"/>
  <c r="AD101" i="1"/>
  <c r="AD102" i="1"/>
  <c r="AD103" i="1"/>
  <c r="AD128" i="1"/>
  <c r="AD129" i="1"/>
  <c r="AD130" i="1"/>
  <c r="AD131" i="1"/>
  <c r="AD132" i="1"/>
  <c r="AD133" i="1"/>
  <c r="AD134" i="1"/>
  <c r="AD135" i="1"/>
  <c r="AD136" i="1"/>
  <c r="AD138" i="1"/>
  <c r="AD139" i="1"/>
  <c r="AD140" i="1"/>
  <c r="AD141" i="1"/>
  <c r="AD142" i="1"/>
  <c r="AD143" i="1"/>
  <c r="AD144" i="1"/>
  <c r="AD146" i="1"/>
  <c r="E90" i="1"/>
  <c r="C62" i="14" s="1"/>
  <c r="G37" i="14" s="1"/>
  <c r="G82" i="1"/>
  <c r="H82" i="1"/>
  <c r="F54" i="14" s="1"/>
  <c r="D22" i="14"/>
  <c r="E54" i="14" l="1"/>
  <c r="G29" i="14" s="1"/>
  <c r="D147" i="1"/>
  <c r="D50" i="14"/>
  <c r="H38" i="1"/>
  <c r="B39" i="14"/>
  <c r="C33" i="6"/>
  <c r="C28" i="6"/>
  <c r="C23" i="6"/>
  <c r="C18" i="6"/>
  <c r="C13" i="6"/>
  <c r="B12" i="14" l="1"/>
  <c r="B13" i="14"/>
  <c r="B14" i="14"/>
  <c r="B15" i="14"/>
  <c r="B16" i="14"/>
  <c r="D11" i="14"/>
  <c r="B11" i="14"/>
  <c r="A12" i="14"/>
  <c r="A13" i="14"/>
  <c r="A14" i="14"/>
  <c r="A15" i="14"/>
  <c r="A16" i="14"/>
  <c r="A11" i="14"/>
  <c r="F7" i="1"/>
  <c r="D7" i="1"/>
  <c r="B1" i="14"/>
  <c r="H39" i="1"/>
  <c r="H40" i="1"/>
  <c r="H41" i="1"/>
  <c r="B82" i="1" l="1"/>
  <c r="F18" i="12"/>
  <c r="F19" i="12"/>
  <c r="F20" i="12"/>
  <c r="F21" i="12"/>
  <c r="F22" i="12"/>
  <c r="F23" i="12"/>
  <c r="F24" i="12"/>
  <c r="F25" i="12"/>
  <c r="F26" i="12"/>
  <c r="F27" i="12"/>
  <c r="F28" i="12"/>
  <c r="F29" i="12"/>
  <c r="F30" i="12"/>
  <c r="F31" i="12"/>
  <c r="F32" i="12"/>
  <c r="F33" i="12"/>
  <c r="F34" i="12"/>
  <c r="F35" i="12"/>
  <c r="F15" i="12"/>
  <c r="G37" i="12" s="1"/>
  <c r="F16" i="12"/>
  <c r="F17" i="12"/>
  <c r="J38" i="1"/>
  <c r="J39" i="1"/>
  <c r="J40" i="1"/>
  <c r="J41" i="1"/>
  <c r="D38" i="14"/>
  <c r="D23" i="14"/>
  <c r="J23" i="1"/>
  <c r="D24" i="14" s="1"/>
  <c r="D25" i="14"/>
  <c r="J25" i="1"/>
  <c r="D26" i="14" s="1"/>
  <c r="J26" i="1"/>
  <c r="D27" i="14" s="1"/>
  <c r="J27" i="1"/>
  <c r="D28" i="14" s="1"/>
  <c r="J28" i="1"/>
  <c r="D29" i="14" s="1"/>
  <c r="J29" i="1"/>
  <c r="D30" i="14" s="1"/>
  <c r="J30" i="1"/>
  <c r="J31" i="1"/>
  <c r="J32" i="1"/>
  <c r="J33" i="1"/>
  <c r="D34" i="14" s="1"/>
  <c r="K34" i="1"/>
  <c r="AD117" i="1" s="1"/>
  <c r="J35" i="1"/>
  <c r="B22" i="1"/>
  <c r="B23" i="1"/>
  <c r="B24" i="1"/>
  <c r="B25" i="1"/>
  <c r="B26" i="1"/>
  <c r="B27" i="1"/>
  <c r="B28" i="1"/>
  <c r="B29" i="1"/>
  <c r="B30" i="1"/>
  <c r="B31" i="1"/>
  <c r="B32" i="1"/>
  <c r="B33" i="1"/>
  <c r="B34" i="1"/>
  <c r="B35" i="1"/>
  <c r="D37" i="1"/>
  <c r="B38" i="14" s="1"/>
  <c r="B37" i="1"/>
  <c r="B21" i="1"/>
  <c r="H31" i="1"/>
  <c r="I31" i="1"/>
  <c r="H32" i="1"/>
  <c r="I32" i="1"/>
  <c r="H33" i="1"/>
  <c r="I33" i="1"/>
  <c r="B54" i="14" l="1"/>
  <c r="F29" i="14" s="1"/>
  <c r="K41" i="1"/>
  <c r="AD124" i="1" s="1"/>
  <c r="D42" i="14"/>
  <c r="AH39" i="1"/>
  <c r="D40" i="14"/>
  <c r="AH40" i="1"/>
  <c r="D41" i="14"/>
  <c r="AH38" i="1"/>
  <c r="D39" i="14"/>
  <c r="K35" i="1"/>
  <c r="AD118" i="1" s="1"/>
  <c r="D36" i="14"/>
  <c r="AH32" i="1"/>
  <c r="D33" i="14"/>
  <c r="AH31" i="1"/>
  <c r="D32" i="14"/>
  <c r="AH30" i="1"/>
  <c r="D31" i="14"/>
  <c r="V15" i="12"/>
  <c r="W15" i="12" s="1"/>
  <c r="C4" i="12"/>
  <c r="H37" i="1"/>
  <c r="K37" i="1" s="1"/>
  <c r="AD120" i="1" s="1"/>
  <c r="I37" i="1"/>
  <c r="AH37" i="1" s="1"/>
  <c r="K33" i="1"/>
  <c r="AD116" i="1" s="1"/>
  <c r="K40" i="1"/>
  <c r="AD123" i="1" s="1"/>
  <c r="K32" i="1"/>
  <c r="AD115" i="1" s="1"/>
  <c r="AH29" i="1"/>
  <c r="K39" i="1"/>
  <c r="AD122" i="1" s="1"/>
  <c r="K31" i="1"/>
  <c r="AD114" i="1" s="1"/>
  <c r="AH28" i="1"/>
  <c r="K38" i="1"/>
  <c r="AD121" i="1" s="1"/>
  <c r="AH35" i="1"/>
  <c r="AH34" i="1"/>
  <c r="AH41" i="1"/>
  <c r="AH33" i="1"/>
  <c r="J16" i="12"/>
  <c r="J15" i="12"/>
  <c r="I17" i="12"/>
  <c r="K114" i="12"/>
  <c r="J114" i="12"/>
  <c r="B114" i="12"/>
  <c r="K113" i="12"/>
  <c r="J113" i="12"/>
  <c r="B113" i="12"/>
  <c r="K112" i="12"/>
  <c r="J112" i="12"/>
  <c r="B112" i="12"/>
  <c r="K111" i="12"/>
  <c r="J111" i="12"/>
  <c r="B111" i="12"/>
  <c r="K110" i="12"/>
  <c r="J110" i="12"/>
  <c r="B110" i="12"/>
  <c r="K109" i="12"/>
  <c r="J109" i="12"/>
  <c r="B109" i="12"/>
  <c r="K108" i="12"/>
  <c r="J108" i="12"/>
  <c r="B108" i="12"/>
  <c r="K107" i="12"/>
  <c r="J107" i="12"/>
  <c r="B107" i="12"/>
  <c r="K106" i="12"/>
  <c r="J106" i="12"/>
  <c r="B106" i="12"/>
  <c r="K105" i="12"/>
  <c r="J105" i="12"/>
  <c r="B105" i="12"/>
  <c r="K104" i="12"/>
  <c r="J104" i="12"/>
  <c r="B104" i="12"/>
  <c r="K103" i="12"/>
  <c r="J103" i="12"/>
  <c r="B103" i="12"/>
  <c r="K102" i="12"/>
  <c r="J102" i="12"/>
  <c r="B102" i="12"/>
  <c r="K101" i="12"/>
  <c r="J101" i="12"/>
  <c r="B101" i="12"/>
  <c r="K100" i="12"/>
  <c r="J100" i="12"/>
  <c r="B100" i="12"/>
  <c r="K99" i="12"/>
  <c r="J99" i="12"/>
  <c r="B99" i="12"/>
  <c r="K98" i="12"/>
  <c r="J98" i="12"/>
  <c r="B98" i="12"/>
  <c r="K97" i="12"/>
  <c r="J97" i="12"/>
  <c r="B97" i="12"/>
  <c r="K96" i="12"/>
  <c r="J96" i="12"/>
  <c r="B96" i="12"/>
  <c r="K95" i="12"/>
  <c r="J95" i="12"/>
  <c r="B95" i="12"/>
  <c r="K94" i="12"/>
  <c r="J94" i="12"/>
  <c r="B94" i="12"/>
  <c r="K93" i="12"/>
  <c r="J93" i="12"/>
  <c r="B93" i="12"/>
  <c r="K92" i="12"/>
  <c r="J92" i="12"/>
  <c r="B92" i="12"/>
  <c r="K91" i="12"/>
  <c r="J91" i="12"/>
  <c r="B91" i="12"/>
  <c r="K90" i="12"/>
  <c r="J90" i="12"/>
  <c r="B90" i="12"/>
  <c r="K89" i="12"/>
  <c r="J89" i="12"/>
  <c r="B89" i="12"/>
  <c r="K88" i="12"/>
  <c r="J88" i="12"/>
  <c r="B88" i="12"/>
  <c r="K87" i="12"/>
  <c r="J87" i="12"/>
  <c r="B87" i="12"/>
  <c r="K86" i="12"/>
  <c r="J86" i="12"/>
  <c r="B86" i="12"/>
  <c r="K85" i="12"/>
  <c r="J85" i="12"/>
  <c r="B85" i="12"/>
  <c r="K84" i="12"/>
  <c r="J84" i="12"/>
  <c r="B84" i="12"/>
  <c r="K83" i="12"/>
  <c r="J83" i="12"/>
  <c r="B83" i="12"/>
  <c r="K82" i="12"/>
  <c r="J82" i="12"/>
  <c r="B82" i="12"/>
  <c r="K81" i="12"/>
  <c r="J81" i="12"/>
  <c r="B81" i="12"/>
  <c r="K80" i="12"/>
  <c r="J80" i="12"/>
  <c r="B80" i="12"/>
  <c r="K79" i="12"/>
  <c r="J79" i="12"/>
  <c r="B79" i="12"/>
  <c r="K78" i="12"/>
  <c r="J78" i="12"/>
  <c r="B78" i="12"/>
  <c r="K77" i="12"/>
  <c r="J77" i="12"/>
  <c r="B77" i="12"/>
  <c r="K76" i="12"/>
  <c r="J76" i="12"/>
  <c r="B76" i="12"/>
  <c r="K75" i="12"/>
  <c r="J75" i="12"/>
  <c r="B75" i="12"/>
  <c r="K74" i="12"/>
  <c r="J74" i="12"/>
  <c r="B74" i="12"/>
  <c r="K73" i="12"/>
  <c r="J73" i="12"/>
  <c r="B73" i="12"/>
  <c r="K72" i="12"/>
  <c r="J72" i="12"/>
  <c r="B72" i="12"/>
  <c r="K71" i="12"/>
  <c r="J71" i="12"/>
  <c r="B71" i="12"/>
  <c r="K70" i="12"/>
  <c r="J70" i="12"/>
  <c r="B70" i="12"/>
  <c r="K69" i="12"/>
  <c r="J69" i="12"/>
  <c r="B69" i="12"/>
  <c r="K68" i="12"/>
  <c r="J68" i="12"/>
  <c r="B68" i="12"/>
  <c r="K67" i="12"/>
  <c r="J67" i="12"/>
  <c r="B67" i="12"/>
  <c r="K66" i="12"/>
  <c r="J66" i="12"/>
  <c r="B66" i="12"/>
  <c r="K65" i="12"/>
  <c r="J65" i="12"/>
  <c r="B65" i="12"/>
  <c r="K64" i="12"/>
  <c r="J64" i="12"/>
  <c r="B64" i="12"/>
  <c r="K63" i="12"/>
  <c r="J63" i="12"/>
  <c r="B63" i="12"/>
  <c r="K62" i="12"/>
  <c r="J62" i="12"/>
  <c r="B62" i="12"/>
  <c r="K61" i="12"/>
  <c r="J61" i="12"/>
  <c r="B61" i="12"/>
  <c r="K60" i="12"/>
  <c r="J60" i="12"/>
  <c r="B60" i="12"/>
  <c r="K59" i="12"/>
  <c r="J59" i="12"/>
  <c r="B59" i="12"/>
  <c r="D58" i="12"/>
  <c r="D90" i="1" s="1"/>
  <c r="E45" i="12"/>
  <c r="H7" i="12" s="1"/>
  <c r="D36" i="12"/>
  <c r="D30" i="12"/>
  <c r="W27" i="12"/>
  <c r="V21" i="12"/>
  <c r="W21" i="12" s="1"/>
  <c r="V18" i="12"/>
  <c r="W18" i="12" s="1"/>
  <c r="J12" i="12"/>
  <c r="I12" i="12"/>
  <c r="H12" i="12"/>
  <c r="G12" i="12"/>
  <c r="F12" i="12"/>
  <c r="I8" i="12"/>
  <c r="G8" i="12"/>
  <c r="I6" i="12"/>
  <c r="G6" i="12"/>
  <c r="I5" i="12"/>
  <c r="G5" i="12"/>
  <c r="I4" i="12"/>
  <c r="G4" i="12"/>
  <c r="I3" i="12"/>
  <c r="G3" i="12"/>
  <c r="K51" i="12" l="1"/>
  <c r="K52" i="12"/>
  <c r="M58" i="12"/>
  <c r="J58" i="12"/>
  <c r="M57" i="12"/>
  <c r="J57" i="12"/>
  <c r="K56" i="12"/>
  <c r="K57" i="12"/>
  <c r="K58" i="12"/>
  <c r="M117" i="12"/>
  <c r="J51" i="12"/>
  <c r="J52" i="12"/>
  <c r="J56" i="12"/>
  <c r="M52" i="12"/>
  <c r="M56" i="12"/>
  <c r="K50" i="12"/>
  <c r="M51" i="12"/>
  <c r="H3" i="12"/>
  <c r="V122" i="12"/>
  <c r="V124" i="12"/>
  <c r="V123" i="12"/>
  <c r="V121" i="12"/>
  <c r="J50" i="12"/>
  <c r="M50" i="12"/>
  <c r="E4" i="12"/>
  <c r="H4" i="12" s="1"/>
  <c r="E11" i="1"/>
  <c r="D82" i="1"/>
  <c r="J17" i="12"/>
  <c r="W24" i="12"/>
  <c r="D37" i="12"/>
  <c r="D14" i="1"/>
  <c r="G127" i="12" l="1"/>
  <c r="G38" i="12" s="1"/>
  <c r="H5" i="12" s="1"/>
  <c r="H6" i="12"/>
  <c r="H8" i="12" s="1"/>
  <c r="C9" i="1"/>
  <c r="D11" i="1"/>
  <c r="F11" i="1"/>
  <c r="J116" i="12"/>
  <c r="V29" i="12"/>
  <c r="V31" i="12" s="1"/>
  <c r="K115" i="12"/>
  <c r="J115" i="12"/>
  <c r="M115" i="12"/>
  <c r="E21" i="12"/>
  <c r="E29" i="12"/>
  <c r="E22" i="12"/>
  <c r="E31" i="12"/>
  <c r="E23" i="12"/>
  <c r="E32" i="12"/>
  <c r="E16" i="12"/>
  <c r="E24" i="12"/>
  <c r="E33" i="12"/>
  <c r="E17" i="12"/>
  <c r="E25" i="12"/>
  <c r="E34" i="12"/>
  <c r="E18" i="12"/>
  <c r="E26" i="12"/>
  <c r="E35" i="12"/>
  <c r="E19" i="12"/>
  <c r="E27" i="12"/>
  <c r="E15" i="12"/>
  <c r="E20" i="12"/>
  <c r="E28" i="12"/>
  <c r="AD92" i="1" l="1"/>
  <c r="B7" i="14"/>
  <c r="P55" i="1"/>
  <c r="Q55" i="1" l="1"/>
  <c r="P54" i="1" s="1"/>
  <c r="Q54" i="1" s="1"/>
  <c r="AE33" i="1"/>
  <c r="AE24" i="1"/>
  <c r="J149" i="1"/>
  <c r="B12" i="1" l="1"/>
  <c r="E14" i="1" l="1"/>
  <c r="F14" i="1" l="1"/>
  <c r="J156" i="1"/>
  <c r="D155" i="1"/>
  <c r="D156" i="1"/>
  <c r="P38" i="1"/>
  <c r="P39" i="1"/>
  <c r="P40" i="1"/>
  <c r="P41" i="1"/>
  <c r="P37" i="1"/>
  <c r="P31" i="1"/>
  <c r="P32" i="1"/>
  <c r="P33" i="1"/>
  <c r="P34" i="1"/>
  <c r="P35" i="1"/>
  <c r="K76" i="1" l="1"/>
  <c r="H11" i="10"/>
  <c r="H12" i="10"/>
  <c r="H5" i="10"/>
  <c r="H13" i="10"/>
  <c r="H14" i="10"/>
  <c r="H15" i="10"/>
  <c r="H16" i="10"/>
  <c r="H17" i="10"/>
  <c r="H18" i="10"/>
  <c r="H64" i="10"/>
  <c r="H65" i="10"/>
  <c r="H19" i="10"/>
  <c r="H66" i="10"/>
  <c r="H67" i="10"/>
  <c r="H68" i="10"/>
  <c r="H69" i="10"/>
  <c r="H20" i="10"/>
  <c r="H21" i="10"/>
  <c r="H22" i="10"/>
  <c r="H23" i="10"/>
  <c r="H24" i="10"/>
  <c r="H25" i="10"/>
  <c r="H26" i="10"/>
  <c r="H27" i="10"/>
  <c r="H28" i="10"/>
  <c r="H29" i="10"/>
  <c r="H30" i="10"/>
  <c r="H31" i="10"/>
  <c r="H32" i="10"/>
  <c r="H33" i="10"/>
  <c r="H70" i="10"/>
  <c r="H71" i="10"/>
  <c r="H6" i="10"/>
  <c r="H72" i="10"/>
  <c r="H3" i="10"/>
  <c r="H74" i="10"/>
  <c r="H75" i="10"/>
  <c r="H34" i="10"/>
  <c r="H35" i="10"/>
  <c r="H76" i="10"/>
  <c r="H77" i="10"/>
  <c r="H36" i="10"/>
  <c r="H37" i="10"/>
  <c r="H38" i="10"/>
  <c r="H7" i="10"/>
  <c r="H39" i="10"/>
  <c r="H41" i="10"/>
  <c r="H42" i="10"/>
  <c r="H43" i="10"/>
  <c r="H44" i="10"/>
  <c r="H45" i="10"/>
  <c r="H46" i="10"/>
  <c r="H47" i="10"/>
  <c r="H48" i="10"/>
  <c r="H4" i="10"/>
  <c r="H8" i="10"/>
  <c r="H49" i="10"/>
  <c r="H50" i="10"/>
  <c r="H51" i="10"/>
  <c r="H52" i="10"/>
  <c r="H53" i="10"/>
  <c r="H54" i="10"/>
  <c r="H78" i="10"/>
  <c r="H55" i="10"/>
  <c r="H79" i="10"/>
  <c r="H56" i="10"/>
  <c r="H57" i="10"/>
  <c r="H58" i="10"/>
  <c r="H59" i="10"/>
  <c r="H60" i="10"/>
  <c r="H9" i="10"/>
  <c r="H61" i="10"/>
  <c r="H62" i="10"/>
  <c r="H63" i="10"/>
  <c r="H10" i="10"/>
  <c r="C9" i="3" l="1"/>
  <c r="I9" i="3" s="1"/>
  <c r="I22" i="3" s="1"/>
  <c r="I35" i="3" s="1"/>
  <c r="I48" i="3" s="1"/>
  <c r="I61" i="3" s="1"/>
  <c r="I74" i="3" s="1"/>
  <c r="C22" i="3" l="1"/>
  <c r="C35" i="3" s="1"/>
  <c r="C48" i="3" s="1"/>
  <c r="C61" i="3" s="1"/>
  <c r="C74" i="3" s="1"/>
  <c r="AA8" i="1" l="1"/>
  <c r="Y8" i="1"/>
  <c r="AA7" i="1"/>
  <c r="Y7" i="1"/>
  <c r="AA6" i="1"/>
  <c r="AF6" i="1" s="1"/>
  <c r="Y6" i="1"/>
  <c r="AD6" i="1" s="1"/>
  <c r="AA5" i="1"/>
  <c r="AF5" i="1" s="1"/>
  <c r="Y5" i="1"/>
  <c r="AD5" i="1" s="1"/>
  <c r="AA12" i="1" l="1"/>
  <c r="Y12" i="1"/>
  <c r="AA11" i="1"/>
  <c r="Y11"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54" i="1"/>
  <c r="AD137" i="1" s="1"/>
  <c r="K66" i="1"/>
  <c r="K65" i="1"/>
  <c r="J65" i="1"/>
  <c r="I66" i="1"/>
  <c r="I65" i="1"/>
  <c r="H66" i="1"/>
  <c r="H65" i="1"/>
  <c r="G66" i="1"/>
  <c r="G65" i="1"/>
  <c r="F66" i="1"/>
  <c r="F65" i="1"/>
  <c r="E66" i="1"/>
  <c r="E65" i="1"/>
  <c r="J66" i="1"/>
  <c r="J64" i="1" l="1"/>
  <c r="K64" i="1"/>
  <c r="E64" i="1"/>
  <c r="F64" i="1"/>
  <c r="G64" i="1" l="1"/>
  <c r="H64" i="1"/>
  <c r="I64" i="1" l="1"/>
  <c r="U3" i="7"/>
  <c r="I3" i="7"/>
  <c r="J3" i="7" s="1"/>
  <c r="I4" i="7"/>
  <c r="J4" i="7" s="1"/>
  <c r="I5" i="7"/>
  <c r="J5" i="7" s="1"/>
  <c r="I6" i="7"/>
  <c r="J6" i="7" s="1"/>
  <c r="I7" i="7"/>
  <c r="J7" i="7" s="1"/>
  <c r="I8" i="7"/>
  <c r="J8" i="7" s="1"/>
  <c r="I9" i="7"/>
  <c r="J9" i="7" s="1"/>
  <c r="I10" i="7"/>
  <c r="J10" i="7" s="1"/>
  <c r="I11" i="7"/>
  <c r="J11" i="7" s="1"/>
  <c r="I12" i="7"/>
  <c r="J12" i="7" s="1"/>
  <c r="I13" i="7"/>
  <c r="J13" i="7" s="1"/>
  <c r="I14" i="7"/>
  <c r="J14" i="7" s="1"/>
  <c r="I15" i="7"/>
  <c r="J15" i="7" s="1"/>
  <c r="I16" i="7"/>
  <c r="J16" i="7" s="1"/>
  <c r="I17" i="7"/>
  <c r="J17" i="7" s="1"/>
  <c r="I18" i="7"/>
  <c r="J18" i="7" s="1"/>
  <c r="I19" i="7"/>
  <c r="J19" i="7" s="1"/>
  <c r="I20" i="7"/>
  <c r="J20" i="7" s="1"/>
  <c r="I21" i="7"/>
  <c r="J21" i="7" s="1"/>
  <c r="I22" i="7"/>
  <c r="J22" i="7" s="1"/>
  <c r="I23" i="7"/>
  <c r="J23" i="7" s="1"/>
  <c r="I24" i="7"/>
  <c r="J24" i="7" s="1"/>
  <c r="I25" i="7"/>
  <c r="J25" i="7" s="1"/>
  <c r="I26" i="7"/>
  <c r="J26" i="7" s="1"/>
  <c r="I27" i="7"/>
  <c r="J27" i="7" s="1"/>
  <c r="I28" i="7"/>
  <c r="J28" i="7" s="1"/>
  <c r="I29" i="7"/>
  <c r="J29" i="7" s="1"/>
  <c r="I30" i="7"/>
  <c r="J30" i="7" s="1"/>
  <c r="I31" i="7"/>
  <c r="J31" i="7" s="1"/>
  <c r="I32" i="7"/>
  <c r="J32" i="7" s="1"/>
  <c r="I33" i="7"/>
  <c r="J33" i="7" s="1"/>
  <c r="I34" i="7"/>
  <c r="J34" i="7" s="1"/>
  <c r="I35" i="7"/>
  <c r="J35" i="7" s="1"/>
  <c r="I36" i="7"/>
  <c r="J36" i="7" s="1"/>
  <c r="I37" i="7"/>
  <c r="J37" i="7" s="1"/>
  <c r="I38" i="7"/>
  <c r="J38" i="7" s="1"/>
  <c r="I39" i="7"/>
  <c r="J39" i="7" s="1"/>
  <c r="I40" i="7"/>
  <c r="J40" i="7" s="1"/>
  <c r="I41" i="7"/>
  <c r="J41" i="7" s="1"/>
  <c r="I42" i="7"/>
  <c r="J42" i="7" s="1"/>
  <c r="I43" i="7"/>
  <c r="J43" i="7" s="1"/>
  <c r="I44" i="7"/>
  <c r="J44" i="7" s="1"/>
  <c r="I45" i="7"/>
  <c r="J45" i="7" s="1"/>
  <c r="I46" i="7"/>
  <c r="J46" i="7" s="1"/>
  <c r="I47" i="7"/>
  <c r="J47" i="7" s="1"/>
  <c r="I48" i="7"/>
  <c r="I49" i="7"/>
  <c r="J49" i="7" s="1"/>
  <c r="I50" i="7"/>
  <c r="J50" i="7" s="1"/>
  <c r="I51" i="7"/>
  <c r="J51" i="7" s="1"/>
  <c r="I52" i="7"/>
  <c r="J52" i="7" s="1"/>
  <c r="I53" i="7"/>
  <c r="J53" i="7" s="1"/>
  <c r="I54" i="7"/>
  <c r="J54" i="7" s="1"/>
  <c r="I55" i="7"/>
  <c r="J55" i="7" s="1"/>
  <c r="I56" i="7"/>
  <c r="J56" i="7" s="1"/>
  <c r="I57" i="7"/>
  <c r="J57" i="7" s="1"/>
  <c r="I58" i="7"/>
  <c r="J58" i="7" s="1"/>
  <c r="I59" i="7"/>
  <c r="J59" i="7" s="1"/>
  <c r="I60" i="7"/>
  <c r="I61" i="7"/>
  <c r="J61" i="7" s="1"/>
  <c r="I62" i="7"/>
  <c r="J62" i="7" s="1"/>
  <c r="I63" i="7"/>
  <c r="J63" i="7" s="1"/>
  <c r="I64" i="7"/>
  <c r="J64" i="7" s="1"/>
  <c r="I65" i="7"/>
  <c r="J65" i="7" s="1"/>
  <c r="I66" i="7"/>
  <c r="J66" i="7" s="1"/>
  <c r="I67" i="7"/>
  <c r="J67" i="7" s="1"/>
  <c r="I68" i="7"/>
  <c r="J68" i="7" s="1"/>
  <c r="I69" i="7"/>
  <c r="J69" i="7" s="1"/>
  <c r="I70" i="7"/>
  <c r="J70" i="7" s="1"/>
  <c r="I71" i="7"/>
  <c r="J71" i="7" s="1"/>
  <c r="I72" i="7"/>
  <c r="J72" i="7" s="1"/>
  <c r="I73" i="7"/>
  <c r="J73" i="7" s="1"/>
  <c r="I74" i="7"/>
  <c r="J74" i="7" s="1"/>
  <c r="I75" i="7"/>
  <c r="J75" i="7" s="1"/>
  <c r="I76" i="7"/>
  <c r="J76" i="7" s="1"/>
  <c r="I77" i="7"/>
  <c r="J77" i="7" s="1"/>
  <c r="I78" i="7"/>
  <c r="J78" i="7" s="1"/>
  <c r="I79" i="7"/>
  <c r="J79" i="7" s="1"/>
  <c r="I80" i="7"/>
  <c r="J80" i="7" s="1"/>
  <c r="I81" i="7"/>
  <c r="J81" i="7" s="1"/>
  <c r="I82" i="7"/>
  <c r="J82" i="7" s="1"/>
  <c r="I83" i="7"/>
  <c r="J83" i="7" s="1"/>
  <c r="I84" i="7"/>
  <c r="J84" i="7" s="1"/>
  <c r="I85" i="7"/>
  <c r="J85" i="7" s="1"/>
  <c r="I86" i="7"/>
  <c r="J86" i="7" s="1"/>
  <c r="I87" i="7"/>
  <c r="J87" i="7" s="1"/>
  <c r="I88" i="7"/>
  <c r="J88" i="7" s="1"/>
  <c r="I89" i="7"/>
  <c r="J89" i="7" s="1"/>
  <c r="I90" i="7"/>
  <c r="J90" i="7" s="1"/>
  <c r="I91" i="7"/>
  <c r="J91" i="7" s="1"/>
  <c r="I92" i="7"/>
  <c r="J92" i="7" s="1"/>
  <c r="I93" i="7"/>
  <c r="J93" i="7" s="1"/>
  <c r="I94" i="7"/>
  <c r="J94" i="7" s="1"/>
  <c r="I95" i="7"/>
  <c r="J95" i="7" s="1"/>
  <c r="I96" i="7"/>
  <c r="J96" i="7" s="1"/>
  <c r="I97" i="7"/>
  <c r="J97" i="7" s="1"/>
  <c r="I98" i="7"/>
  <c r="J98" i="7" s="1"/>
  <c r="I99" i="7"/>
  <c r="J99" i="7" s="1"/>
  <c r="I100" i="7"/>
  <c r="J100" i="7" s="1"/>
  <c r="I101" i="7"/>
  <c r="J101" i="7" s="1"/>
  <c r="I102" i="7"/>
  <c r="J102" i="7" s="1"/>
  <c r="X102" i="7"/>
  <c r="Y102" i="7" s="1"/>
  <c r="W102" i="7"/>
  <c r="V102" i="7"/>
  <c r="U102" i="7"/>
  <c r="S102" i="7"/>
  <c r="T102" i="7" s="1"/>
  <c r="X101" i="7"/>
  <c r="W101" i="7"/>
  <c r="V101" i="7"/>
  <c r="U101" i="7"/>
  <c r="S101" i="7"/>
  <c r="T101" i="7" s="1"/>
  <c r="X100" i="7"/>
  <c r="W100" i="7"/>
  <c r="V100" i="7"/>
  <c r="Y100" i="7" s="1"/>
  <c r="U100" i="7"/>
  <c r="S100" i="7"/>
  <c r="T100" i="7" s="1"/>
  <c r="X99" i="7"/>
  <c r="W99" i="7"/>
  <c r="V99" i="7"/>
  <c r="U99" i="7"/>
  <c r="S99" i="7"/>
  <c r="T99" i="7" s="1"/>
  <c r="X98" i="7"/>
  <c r="W98" i="7"/>
  <c r="V98" i="7"/>
  <c r="U98" i="7"/>
  <c r="S98" i="7"/>
  <c r="T98" i="7" s="1"/>
  <c r="X97" i="7"/>
  <c r="W97" i="7"/>
  <c r="V97" i="7"/>
  <c r="U97" i="7"/>
  <c r="S97" i="7"/>
  <c r="T97" i="7" s="1"/>
  <c r="X96" i="7"/>
  <c r="W96" i="7"/>
  <c r="V96" i="7"/>
  <c r="U96" i="7"/>
  <c r="S96" i="7"/>
  <c r="T96" i="7" s="1"/>
  <c r="X95" i="7"/>
  <c r="W95" i="7"/>
  <c r="V95" i="7"/>
  <c r="U95" i="7"/>
  <c r="S95" i="7"/>
  <c r="T95" i="7" s="1"/>
  <c r="X94" i="7"/>
  <c r="W94" i="7"/>
  <c r="V94" i="7"/>
  <c r="U94" i="7"/>
  <c r="S94" i="7"/>
  <c r="T94" i="7" s="1"/>
  <c r="X93" i="7"/>
  <c r="W93" i="7"/>
  <c r="V93" i="7"/>
  <c r="U93" i="7"/>
  <c r="S93" i="7"/>
  <c r="T93" i="7" s="1"/>
  <c r="X92" i="7"/>
  <c r="W92" i="7"/>
  <c r="V92" i="7"/>
  <c r="U92" i="7"/>
  <c r="S92" i="7"/>
  <c r="T92" i="7" s="1"/>
  <c r="X91" i="7"/>
  <c r="W91" i="7"/>
  <c r="V91" i="7"/>
  <c r="Y91" i="7" s="1"/>
  <c r="U91" i="7"/>
  <c r="S91" i="7"/>
  <c r="T91" i="7" s="1"/>
  <c r="X90" i="7"/>
  <c r="W90" i="7"/>
  <c r="V90" i="7"/>
  <c r="U90" i="7"/>
  <c r="S90" i="7"/>
  <c r="T90" i="7" s="1"/>
  <c r="X89" i="7"/>
  <c r="W89" i="7"/>
  <c r="V89" i="7"/>
  <c r="Y89" i="7" s="1"/>
  <c r="U89" i="7"/>
  <c r="S89" i="7"/>
  <c r="T89" i="7" s="1"/>
  <c r="X88" i="7"/>
  <c r="W88" i="7"/>
  <c r="V88" i="7"/>
  <c r="Y88" i="7" s="1"/>
  <c r="U88" i="7"/>
  <c r="S88" i="7"/>
  <c r="T88" i="7" s="1"/>
  <c r="X87" i="7"/>
  <c r="W87" i="7"/>
  <c r="V87" i="7"/>
  <c r="U87" i="7"/>
  <c r="S87" i="7"/>
  <c r="T87" i="7" s="1"/>
  <c r="X86" i="7"/>
  <c r="W86" i="7"/>
  <c r="V86" i="7"/>
  <c r="U86" i="7"/>
  <c r="S86" i="7"/>
  <c r="T86" i="7" s="1"/>
  <c r="X85" i="7"/>
  <c r="W85" i="7"/>
  <c r="V85" i="7"/>
  <c r="U85" i="7"/>
  <c r="S85" i="7"/>
  <c r="T85" i="7" s="1"/>
  <c r="X84" i="7"/>
  <c r="W84" i="7"/>
  <c r="V84" i="7"/>
  <c r="U84" i="7"/>
  <c r="S84" i="7"/>
  <c r="T84" i="7" s="1"/>
  <c r="X83" i="7"/>
  <c r="W83" i="7"/>
  <c r="V83" i="7"/>
  <c r="U83" i="7"/>
  <c r="S83" i="7"/>
  <c r="T83" i="7" s="1"/>
  <c r="X82" i="7"/>
  <c r="W82" i="7"/>
  <c r="V82" i="7"/>
  <c r="U82" i="7"/>
  <c r="S82" i="7"/>
  <c r="T82" i="7" s="1"/>
  <c r="X81" i="7"/>
  <c r="W81" i="7"/>
  <c r="V81" i="7"/>
  <c r="Y81" i="7" s="1"/>
  <c r="U81" i="7"/>
  <c r="S81" i="7"/>
  <c r="T81" i="7" s="1"/>
  <c r="X80" i="7"/>
  <c r="W80" i="7"/>
  <c r="V80" i="7"/>
  <c r="U80" i="7"/>
  <c r="S80" i="7"/>
  <c r="T80" i="7" s="1"/>
  <c r="X79" i="7"/>
  <c r="W79" i="7"/>
  <c r="V79" i="7"/>
  <c r="U79" i="7"/>
  <c r="S79" i="7"/>
  <c r="T79" i="7" s="1"/>
  <c r="X78" i="7"/>
  <c r="W78" i="7"/>
  <c r="V78" i="7"/>
  <c r="U78" i="7"/>
  <c r="S78" i="7"/>
  <c r="T78" i="7" s="1"/>
  <c r="X77" i="7"/>
  <c r="W77" i="7"/>
  <c r="V77" i="7"/>
  <c r="U77" i="7"/>
  <c r="S77" i="7"/>
  <c r="T77" i="7" s="1"/>
  <c r="X76" i="7"/>
  <c r="W76" i="7"/>
  <c r="V76" i="7"/>
  <c r="U76" i="7"/>
  <c r="S76" i="7"/>
  <c r="T76" i="7" s="1"/>
  <c r="X75" i="7"/>
  <c r="W75" i="7"/>
  <c r="V75" i="7"/>
  <c r="U75" i="7"/>
  <c r="S75" i="7"/>
  <c r="T75" i="7" s="1"/>
  <c r="X74" i="7"/>
  <c r="W74" i="7"/>
  <c r="V74" i="7"/>
  <c r="U74" i="7"/>
  <c r="S74" i="7"/>
  <c r="T74" i="7" s="1"/>
  <c r="X73" i="7"/>
  <c r="W73" i="7"/>
  <c r="V73" i="7"/>
  <c r="U73" i="7"/>
  <c r="S73" i="7"/>
  <c r="T73" i="7" s="1"/>
  <c r="X72" i="7"/>
  <c r="W72" i="7"/>
  <c r="V72" i="7"/>
  <c r="U72" i="7"/>
  <c r="S72" i="7"/>
  <c r="T72" i="7" s="1"/>
  <c r="X71" i="7"/>
  <c r="W71" i="7"/>
  <c r="V71" i="7"/>
  <c r="U71" i="7"/>
  <c r="S71" i="7"/>
  <c r="T71" i="7" s="1"/>
  <c r="X70" i="7"/>
  <c r="W70" i="7"/>
  <c r="V70" i="7"/>
  <c r="U70" i="7"/>
  <c r="S70" i="7"/>
  <c r="T70" i="7" s="1"/>
  <c r="X69" i="7"/>
  <c r="W69" i="7"/>
  <c r="V69" i="7"/>
  <c r="U69" i="7"/>
  <c r="S69" i="7"/>
  <c r="T69" i="7" s="1"/>
  <c r="X68" i="7"/>
  <c r="W68" i="7"/>
  <c r="V68" i="7"/>
  <c r="U68" i="7"/>
  <c r="S68" i="7"/>
  <c r="T68" i="7" s="1"/>
  <c r="X67" i="7"/>
  <c r="W67" i="7"/>
  <c r="V67" i="7"/>
  <c r="U67" i="7"/>
  <c r="S67" i="7"/>
  <c r="T67" i="7" s="1"/>
  <c r="X66" i="7"/>
  <c r="W66" i="7"/>
  <c r="V66" i="7"/>
  <c r="U66" i="7"/>
  <c r="S66" i="7"/>
  <c r="T66" i="7" s="1"/>
  <c r="X65" i="7"/>
  <c r="W65" i="7"/>
  <c r="V65" i="7"/>
  <c r="Y65" i="7" s="1"/>
  <c r="U65" i="7"/>
  <c r="S65" i="7"/>
  <c r="T65" i="7" s="1"/>
  <c r="X64" i="7"/>
  <c r="W64" i="7"/>
  <c r="V64" i="7"/>
  <c r="Y64" i="7" s="1"/>
  <c r="U64" i="7"/>
  <c r="S64" i="7"/>
  <c r="T64" i="7" s="1"/>
  <c r="X63" i="7"/>
  <c r="W63" i="7"/>
  <c r="V63" i="7"/>
  <c r="U63" i="7"/>
  <c r="S63" i="7"/>
  <c r="T63" i="7" s="1"/>
  <c r="X62" i="7"/>
  <c r="W62" i="7"/>
  <c r="V62" i="7"/>
  <c r="U62" i="7"/>
  <c r="S62" i="7"/>
  <c r="T62" i="7" s="1"/>
  <c r="X61" i="7"/>
  <c r="W61" i="7"/>
  <c r="V61" i="7"/>
  <c r="U61" i="7"/>
  <c r="S61" i="7"/>
  <c r="T61" i="7" s="1"/>
  <c r="X60" i="7"/>
  <c r="W60" i="7"/>
  <c r="V60" i="7"/>
  <c r="U60" i="7"/>
  <c r="S60" i="7"/>
  <c r="T60" i="7" s="1"/>
  <c r="X59" i="7"/>
  <c r="W59" i="7"/>
  <c r="V59" i="7"/>
  <c r="U59" i="7"/>
  <c r="S59" i="7"/>
  <c r="T59" i="7" s="1"/>
  <c r="X58" i="7"/>
  <c r="W58" i="7"/>
  <c r="V58" i="7"/>
  <c r="U58" i="7"/>
  <c r="S58" i="7"/>
  <c r="T58" i="7" s="1"/>
  <c r="X57" i="7"/>
  <c r="W57" i="7"/>
  <c r="V57" i="7"/>
  <c r="U57" i="7"/>
  <c r="S57" i="7"/>
  <c r="T57" i="7" s="1"/>
  <c r="X56" i="7"/>
  <c r="W56" i="7"/>
  <c r="V56" i="7"/>
  <c r="Y56" i="7" s="1"/>
  <c r="U56" i="7"/>
  <c r="S56" i="7"/>
  <c r="T56" i="7" s="1"/>
  <c r="X55" i="7"/>
  <c r="W55" i="7"/>
  <c r="V55" i="7"/>
  <c r="U55" i="7"/>
  <c r="S55" i="7"/>
  <c r="T55" i="7" s="1"/>
  <c r="X54" i="7"/>
  <c r="W54" i="7"/>
  <c r="V54" i="7"/>
  <c r="U54" i="7"/>
  <c r="S54" i="7"/>
  <c r="T54" i="7" s="1"/>
  <c r="X53" i="7"/>
  <c r="W53" i="7"/>
  <c r="V53" i="7"/>
  <c r="U53" i="7"/>
  <c r="S53" i="7"/>
  <c r="T53" i="7" s="1"/>
  <c r="X52" i="7"/>
  <c r="W52" i="7"/>
  <c r="V52" i="7"/>
  <c r="U52" i="7"/>
  <c r="S52" i="7"/>
  <c r="T52" i="7" s="1"/>
  <c r="X51" i="7"/>
  <c r="W51" i="7"/>
  <c r="V51" i="7"/>
  <c r="U51" i="7"/>
  <c r="S51" i="7"/>
  <c r="T51" i="7" s="1"/>
  <c r="X50" i="7"/>
  <c r="W50" i="7"/>
  <c r="V50" i="7"/>
  <c r="U50" i="7"/>
  <c r="S50" i="7"/>
  <c r="T50" i="7" s="1"/>
  <c r="X49" i="7"/>
  <c r="W49" i="7"/>
  <c r="V49" i="7"/>
  <c r="U49" i="7"/>
  <c r="S49" i="7"/>
  <c r="T49" i="7" s="1"/>
  <c r="X48" i="7"/>
  <c r="W48" i="7"/>
  <c r="V48" i="7"/>
  <c r="Y48" i="7" s="1"/>
  <c r="U48" i="7"/>
  <c r="S48" i="7"/>
  <c r="T48" i="7" s="1"/>
  <c r="X47" i="7"/>
  <c r="W47" i="7"/>
  <c r="V47" i="7"/>
  <c r="U47" i="7"/>
  <c r="S47" i="7"/>
  <c r="T47" i="7" s="1"/>
  <c r="X46" i="7"/>
  <c r="W46" i="7"/>
  <c r="V46" i="7"/>
  <c r="U46" i="7"/>
  <c r="S46" i="7"/>
  <c r="T46" i="7" s="1"/>
  <c r="X45" i="7"/>
  <c r="W45" i="7"/>
  <c r="V45" i="7"/>
  <c r="U45" i="7"/>
  <c r="S45" i="7"/>
  <c r="T45" i="7" s="1"/>
  <c r="X44" i="7"/>
  <c r="W44" i="7"/>
  <c r="V44" i="7"/>
  <c r="U44" i="7"/>
  <c r="S44" i="7"/>
  <c r="T44" i="7" s="1"/>
  <c r="X43" i="7"/>
  <c r="W43" i="7"/>
  <c r="V43" i="7"/>
  <c r="U43" i="7"/>
  <c r="S43" i="7"/>
  <c r="T43" i="7" s="1"/>
  <c r="X42" i="7"/>
  <c r="W42" i="7"/>
  <c r="V42" i="7"/>
  <c r="U42" i="7"/>
  <c r="S42" i="7"/>
  <c r="T42" i="7" s="1"/>
  <c r="X41" i="7"/>
  <c r="W41" i="7"/>
  <c r="V41" i="7"/>
  <c r="U41" i="7"/>
  <c r="S41" i="7"/>
  <c r="T41" i="7" s="1"/>
  <c r="X40" i="7"/>
  <c r="W40" i="7"/>
  <c r="V40" i="7"/>
  <c r="Y40" i="7" s="1"/>
  <c r="U40" i="7"/>
  <c r="S40" i="7"/>
  <c r="T40" i="7" s="1"/>
  <c r="X39" i="7"/>
  <c r="W39" i="7"/>
  <c r="V39" i="7"/>
  <c r="U39" i="7"/>
  <c r="S39" i="7"/>
  <c r="T39" i="7" s="1"/>
  <c r="X38" i="7"/>
  <c r="W38" i="7"/>
  <c r="V38" i="7"/>
  <c r="U38" i="7"/>
  <c r="S38" i="7"/>
  <c r="T38" i="7" s="1"/>
  <c r="X37" i="7"/>
  <c r="W37" i="7"/>
  <c r="V37" i="7"/>
  <c r="U37" i="7"/>
  <c r="S37" i="7"/>
  <c r="T37" i="7" s="1"/>
  <c r="X36" i="7"/>
  <c r="W36" i="7"/>
  <c r="V36" i="7"/>
  <c r="U36" i="7"/>
  <c r="S36" i="7"/>
  <c r="T36" i="7" s="1"/>
  <c r="X35" i="7"/>
  <c r="W35" i="7"/>
  <c r="V35" i="7"/>
  <c r="U35" i="7"/>
  <c r="S35" i="7"/>
  <c r="T35" i="7" s="1"/>
  <c r="X34" i="7"/>
  <c r="W34" i="7"/>
  <c r="V34" i="7"/>
  <c r="U34" i="7"/>
  <c r="S34" i="7"/>
  <c r="T34" i="7" s="1"/>
  <c r="X33" i="7"/>
  <c r="W33" i="7"/>
  <c r="V33" i="7"/>
  <c r="U33" i="7"/>
  <c r="S33" i="7"/>
  <c r="T33" i="7" s="1"/>
  <c r="X32" i="7"/>
  <c r="W32" i="7"/>
  <c r="V32" i="7"/>
  <c r="U32" i="7"/>
  <c r="S32" i="7"/>
  <c r="T32" i="7" s="1"/>
  <c r="X31" i="7"/>
  <c r="W31" i="7"/>
  <c r="V31" i="7"/>
  <c r="U31" i="7"/>
  <c r="S31" i="7"/>
  <c r="T31" i="7" s="1"/>
  <c r="X30" i="7"/>
  <c r="W30" i="7"/>
  <c r="V30" i="7"/>
  <c r="U30" i="7"/>
  <c r="S30" i="7"/>
  <c r="T30" i="7" s="1"/>
  <c r="X29" i="7"/>
  <c r="W29" i="7"/>
  <c r="V29" i="7"/>
  <c r="U29" i="7"/>
  <c r="S29" i="7"/>
  <c r="T29" i="7" s="1"/>
  <c r="X28" i="7"/>
  <c r="W28" i="7"/>
  <c r="V28" i="7"/>
  <c r="U28" i="7"/>
  <c r="S28" i="7"/>
  <c r="T28" i="7" s="1"/>
  <c r="X27" i="7"/>
  <c r="W27" i="7"/>
  <c r="V27" i="7"/>
  <c r="U27" i="7"/>
  <c r="S27" i="7"/>
  <c r="T27" i="7" s="1"/>
  <c r="X26" i="7"/>
  <c r="W26" i="7"/>
  <c r="V26" i="7"/>
  <c r="U26" i="7"/>
  <c r="S26" i="7"/>
  <c r="T26" i="7" s="1"/>
  <c r="X25" i="7"/>
  <c r="W25" i="7"/>
  <c r="V25" i="7"/>
  <c r="U25" i="7"/>
  <c r="S25" i="7"/>
  <c r="T25" i="7" s="1"/>
  <c r="X24" i="7"/>
  <c r="W24" i="7"/>
  <c r="V24" i="7"/>
  <c r="U24" i="7"/>
  <c r="S24" i="7"/>
  <c r="T24" i="7" s="1"/>
  <c r="X23" i="7"/>
  <c r="W23" i="7"/>
  <c r="V23" i="7"/>
  <c r="U23" i="7"/>
  <c r="S23" i="7"/>
  <c r="T23" i="7" s="1"/>
  <c r="X22" i="7"/>
  <c r="W22" i="7"/>
  <c r="V22" i="7"/>
  <c r="U22" i="7"/>
  <c r="S22" i="7"/>
  <c r="T22" i="7" s="1"/>
  <c r="X21" i="7"/>
  <c r="W21" i="7"/>
  <c r="V21" i="7"/>
  <c r="U21" i="7"/>
  <c r="S21" i="7"/>
  <c r="T21" i="7" s="1"/>
  <c r="X20" i="7"/>
  <c r="W20" i="7"/>
  <c r="V20" i="7"/>
  <c r="U20" i="7"/>
  <c r="S20" i="7"/>
  <c r="T20" i="7" s="1"/>
  <c r="X19" i="7"/>
  <c r="W19" i="7"/>
  <c r="V19" i="7"/>
  <c r="U19" i="7"/>
  <c r="S19" i="7"/>
  <c r="T19" i="7" s="1"/>
  <c r="X18" i="7"/>
  <c r="W18" i="7"/>
  <c r="V18" i="7"/>
  <c r="U18" i="7"/>
  <c r="S18" i="7"/>
  <c r="T18" i="7" s="1"/>
  <c r="X17" i="7"/>
  <c r="W17" i="7"/>
  <c r="V17" i="7"/>
  <c r="U17" i="7"/>
  <c r="S17" i="7"/>
  <c r="T17" i="7" s="1"/>
  <c r="X16" i="7"/>
  <c r="W16" i="7"/>
  <c r="V16" i="7"/>
  <c r="U16" i="7"/>
  <c r="S16" i="7"/>
  <c r="T16" i="7" s="1"/>
  <c r="X15" i="7"/>
  <c r="W15" i="7"/>
  <c r="V15" i="7"/>
  <c r="U15" i="7"/>
  <c r="S15" i="7"/>
  <c r="T15" i="7" s="1"/>
  <c r="X14" i="7"/>
  <c r="W14" i="7"/>
  <c r="V14" i="7"/>
  <c r="U14" i="7"/>
  <c r="S14" i="7"/>
  <c r="T14" i="7" s="1"/>
  <c r="X13" i="7"/>
  <c r="W13" i="7"/>
  <c r="V13" i="7"/>
  <c r="U13" i="7"/>
  <c r="S13" i="7"/>
  <c r="T13" i="7" s="1"/>
  <c r="X12" i="7"/>
  <c r="W12" i="7"/>
  <c r="V12" i="7"/>
  <c r="U12" i="7"/>
  <c r="S12" i="7"/>
  <c r="T12" i="7" s="1"/>
  <c r="X11" i="7"/>
  <c r="W11" i="7"/>
  <c r="V11" i="7"/>
  <c r="U11" i="7"/>
  <c r="S11" i="7"/>
  <c r="T11" i="7" s="1"/>
  <c r="X10" i="7"/>
  <c r="W10" i="7"/>
  <c r="V10" i="7"/>
  <c r="U10" i="7"/>
  <c r="S10" i="7"/>
  <c r="T10" i="7" s="1"/>
  <c r="X9" i="7"/>
  <c r="W9" i="7"/>
  <c r="V9" i="7"/>
  <c r="U9" i="7"/>
  <c r="S9" i="7"/>
  <c r="T9" i="7" s="1"/>
  <c r="X8" i="7"/>
  <c r="W8" i="7"/>
  <c r="V8" i="7"/>
  <c r="U8" i="7"/>
  <c r="S8" i="7"/>
  <c r="T8" i="7" s="1"/>
  <c r="X7" i="7"/>
  <c r="W7" i="7"/>
  <c r="V7" i="7"/>
  <c r="U7" i="7"/>
  <c r="S7" i="7"/>
  <c r="T7" i="7" s="1"/>
  <c r="X6" i="7"/>
  <c r="W6" i="7"/>
  <c r="V6" i="7"/>
  <c r="U6" i="7"/>
  <c r="S6" i="7"/>
  <c r="T6" i="7" s="1"/>
  <c r="X5" i="7"/>
  <c r="W5" i="7"/>
  <c r="V5" i="7"/>
  <c r="U5" i="7"/>
  <c r="S5" i="7"/>
  <c r="T5" i="7" s="1"/>
  <c r="X4" i="7"/>
  <c r="W4" i="7"/>
  <c r="V4" i="7"/>
  <c r="U4" i="7"/>
  <c r="S4" i="7"/>
  <c r="T4" i="7" s="1"/>
  <c r="X3" i="7"/>
  <c r="W3" i="7"/>
  <c r="V3" i="7"/>
  <c r="S3" i="7"/>
  <c r="T3" i="7" s="1"/>
  <c r="J48" i="7" l="1"/>
  <c r="I7" i="12" s="1"/>
  <c r="G7" i="12"/>
  <c r="Y19" i="7"/>
  <c r="Y75" i="7"/>
  <c r="Y97" i="7"/>
  <c r="Y87" i="7"/>
  <c r="Y9" i="7"/>
  <c r="Y25" i="7"/>
  <c r="Y39" i="7"/>
  <c r="Y96" i="7"/>
  <c r="Y69" i="7"/>
  <c r="Y7" i="7"/>
  <c r="Y23" i="7"/>
  <c r="Y58" i="7"/>
  <c r="Y66" i="7"/>
  <c r="Y61" i="7"/>
  <c r="Y47" i="7"/>
  <c r="Y55" i="7"/>
  <c r="Y71" i="7"/>
  <c r="Y5" i="7"/>
  <c r="Y24" i="7"/>
  <c r="Y27" i="7"/>
  <c r="Y33" i="7"/>
  <c r="Y41" i="7"/>
  <c r="Y43" i="7"/>
  <c r="Y57" i="7"/>
  <c r="Y59" i="7"/>
  <c r="Y73" i="7"/>
  <c r="Y35" i="7"/>
  <c r="Y49" i="7"/>
  <c r="Y63" i="7"/>
  <c r="Y77" i="7"/>
  <c r="Y85" i="7"/>
  <c r="Y74" i="7"/>
  <c r="Y82" i="7"/>
  <c r="Y13" i="7"/>
  <c r="Y29" i="7"/>
  <c r="Y37" i="7"/>
  <c r="Y51" i="7"/>
  <c r="Y79" i="7"/>
  <c r="Y93" i="7"/>
  <c r="Y101" i="7"/>
  <c r="Y21" i="7"/>
  <c r="Y18" i="7"/>
  <c r="Y90" i="7"/>
  <c r="Y98" i="7"/>
  <c r="Y10" i="7"/>
  <c r="Y26" i="7"/>
  <c r="Y8" i="7"/>
  <c r="Y11" i="7"/>
  <c r="Y17" i="7"/>
  <c r="Y31" i="7"/>
  <c r="Y45" i="7"/>
  <c r="Y53" i="7"/>
  <c r="Y67" i="7"/>
  <c r="Y72" i="7"/>
  <c r="Y83" i="7"/>
  <c r="Y95" i="7"/>
  <c r="Y15" i="7"/>
  <c r="Y34" i="7"/>
  <c r="Y3" i="7"/>
  <c r="Y42" i="7"/>
  <c r="Y50" i="7"/>
  <c r="Y80" i="7"/>
  <c r="Y4" i="7"/>
  <c r="Y20" i="7"/>
  <c r="Y36" i="7"/>
  <c r="Y52" i="7"/>
  <c r="Y68" i="7"/>
  <c r="Y84" i="7"/>
  <c r="Y14" i="7"/>
  <c r="Y30" i="7"/>
  <c r="Y46" i="7"/>
  <c r="Y62" i="7"/>
  <c r="Y78" i="7"/>
  <c r="Y94" i="7"/>
  <c r="Y16" i="7"/>
  <c r="Y32" i="7"/>
  <c r="Y12" i="7"/>
  <c r="Y28" i="7"/>
  <c r="Y44" i="7"/>
  <c r="Y60" i="7"/>
  <c r="Y76" i="7"/>
  <c r="Y92" i="7"/>
  <c r="Y99" i="7"/>
  <c r="Y6" i="7"/>
  <c r="Y22" i="7"/>
  <c r="Y38" i="7"/>
  <c r="Y54" i="7"/>
  <c r="Y70" i="7"/>
  <c r="Y86" i="7"/>
  <c r="J60" i="7"/>
  <c r="AA9" i="1" s="1"/>
  <c r="Y9" i="1"/>
  <c r="J14" i="1"/>
  <c r="O18" i="1"/>
  <c r="L13" i="1" s="1"/>
  <c r="O17" i="1"/>
  <c r="K12" i="1" s="1"/>
  <c r="AD95" i="1" s="1"/>
  <c r="AA10" i="1" l="1"/>
  <c r="M149" i="1"/>
  <c r="K14" i="1"/>
  <c r="AD97" i="1" s="1"/>
  <c r="L12" i="1"/>
  <c r="K13" i="1"/>
  <c r="AD96" i="1" s="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I147" i="1" l="1"/>
  <c r="H147" i="1"/>
  <c r="G147" i="1"/>
  <c r="F147" i="1"/>
  <c r="C8" i="6" l="1"/>
  <c r="F152" i="1" l="1"/>
  <c r="G152" i="1" s="1"/>
  <c r="G153" i="1" l="1"/>
  <c r="I156" i="1"/>
  <c r="B92" i="1" l="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91" i="1"/>
  <c r="O31" i="1" l="1"/>
  <c r="O32" i="1"/>
  <c r="O33" i="1"/>
  <c r="O34" i="1"/>
  <c r="O35" i="1"/>
  <c r="H2" i="5" l="1"/>
  <c r="B20" i="5" l="1"/>
  <c r="B21" i="5"/>
  <c r="B22" i="5"/>
  <c r="B23" i="5"/>
  <c r="B24" i="5"/>
  <c r="B25" i="5"/>
  <c r="B26" i="5"/>
  <c r="B27" i="5"/>
  <c r="B28" i="5"/>
  <c r="B29" i="5"/>
  <c r="B30" i="5"/>
  <c r="B31" i="5"/>
  <c r="B32" i="5"/>
  <c r="B33" i="5"/>
  <c r="B34" i="5"/>
  <c r="B35" i="5"/>
  <c r="B36" i="5"/>
  <c r="B37" i="5"/>
  <c r="B38" i="5"/>
  <c r="B39" i="5"/>
  <c r="B40" i="5"/>
  <c r="B19" i="5"/>
  <c r="I20" i="5"/>
  <c r="I21" i="5"/>
  <c r="I22" i="5"/>
  <c r="I23" i="5"/>
  <c r="I24" i="5"/>
  <c r="I25" i="5"/>
  <c r="I26" i="5"/>
  <c r="I27" i="5"/>
  <c r="I28" i="5"/>
  <c r="I29" i="5"/>
  <c r="I30" i="5"/>
  <c r="I31" i="5"/>
  <c r="I32" i="5"/>
  <c r="I33" i="5"/>
  <c r="I34" i="5"/>
  <c r="I35" i="5"/>
  <c r="J35" i="5" s="1"/>
  <c r="I36" i="5"/>
  <c r="I37" i="5"/>
  <c r="J37" i="5" s="1"/>
  <c r="I38" i="5"/>
  <c r="M38" i="5" s="1"/>
  <c r="I39" i="5"/>
  <c r="I40" i="5"/>
  <c r="I19" i="5"/>
  <c r="G5" i="5"/>
  <c r="G6" i="5"/>
  <c r="G7" i="5"/>
  <c r="G8" i="5"/>
  <c r="G9" i="5"/>
  <c r="G10" i="5"/>
  <c r="G11" i="5"/>
  <c r="G12" i="5"/>
  <c r="G13" i="5"/>
  <c r="G14" i="5"/>
  <c r="G15" i="5"/>
  <c r="G16" i="5"/>
  <c r="G17" i="5"/>
  <c r="G4" i="5"/>
  <c r="G20" i="5"/>
  <c r="G21" i="5"/>
  <c r="G22" i="5"/>
  <c r="G23" i="5"/>
  <c r="G24" i="5"/>
  <c r="G25" i="5"/>
  <c r="G26" i="5"/>
  <c r="G27" i="5"/>
  <c r="G28" i="5"/>
  <c r="G29" i="5"/>
  <c r="G30" i="5"/>
  <c r="G31" i="5"/>
  <c r="G32" i="5"/>
  <c r="G33" i="5"/>
  <c r="G34" i="5"/>
  <c r="G35" i="5"/>
  <c r="G36" i="5"/>
  <c r="G37" i="5"/>
  <c r="G38" i="5"/>
  <c r="G39" i="5"/>
  <c r="G40" i="5"/>
  <c r="G19" i="5"/>
  <c r="L22" i="5" l="1"/>
  <c r="K28" i="5"/>
  <c r="J33" i="5"/>
  <c r="M40" i="5"/>
  <c r="L34" i="5"/>
  <c r="K30" i="5"/>
  <c r="J39" i="5"/>
  <c r="L36" i="5"/>
  <c r="K32" i="5"/>
  <c r="K22" i="5"/>
  <c r="L38" i="5"/>
  <c r="M21" i="5"/>
  <c r="K34" i="5"/>
  <c r="K26" i="5"/>
  <c r="K24" i="5"/>
  <c r="J38" i="5"/>
  <c r="J36" i="5"/>
  <c r="J34" i="5"/>
  <c r="J32" i="5"/>
  <c r="J30" i="5"/>
  <c r="J28" i="5"/>
  <c r="J26" i="5"/>
  <c r="J24" i="5"/>
  <c r="J22" i="5"/>
  <c r="K36" i="5"/>
  <c r="M37" i="5"/>
  <c r="M35" i="5"/>
  <c r="M33" i="5"/>
  <c r="M29" i="5"/>
  <c r="M27" i="5"/>
  <c r="M23" i="5"/>
  <c r="K39" i="5"/>
  <c r="L21" i="5"/>
  <c r="J40" i="5"/>
  <c r="L37" i="5"/>
  <c r="L35" i="5"/>
  <c r="L33" i="5"/>
  <c r="L31" i="5"/>
  <c r="L29" i="5"/>
  <c r="L27" i="5"/>
  <c r="L23" i="5"/>
  <c r="K38" i="5"/>
  <c r="K21" i="5"/>
  <c r="M39" i="5"/>
  <c r="K37" i="5"/>
  <c r="K35" i="5"/>
  <c r="K33" i="5"/>
  <c r="K31" i="5"/>
  <c r="K29" i="5"/>
  <c r="K27" i="5"/>
  <c r="K25" i="5"/>
  <c r="K23" i="5"/>
  <c r="K40" i="5"/>
  <c r="L39" i="5"/>
  <c r="J31" i="5"/>
  <c r="J29" i="5"/>
  <c r="J27" i="5"/>
  <c r="J25" i="5"/>
  <c r="J23" i="5"/>
  <c r="L40" i="5"/>
  <c r="M36" i="5"/>
  <c r="M34" i="5"/>
  <c r="M30" i="5"/>
  <c r="M28" i="5"/>
  <c r="M24" i="5"/>
  <c r="M22" i="5"/>
  <c r="J21" i="5"/>
  <c r="L32" i="5"/>
  <c r="L30" i="5"/>
  <c r="L28" i="5"/>
  <c r="L24" i="5"/>
  <c r="H42" i="5"/>
  <c r="H43" i="5"/>
  <c r="H44" i="5"/>
  <c r="H45" i="5"/>
  <c r="H33" i="5"/>
  <c r="H34" i="5"/>
  <c r="H35" i="5"/>
  <c r="H36" i="5"/>
  <c r="H37" i="5"/>
  <c r="H28" i="5"/>
  <c r="M20" i="5" s="1"/>
  <c r="H6" i="5"/>
  <c r="H7" i="5"/>
  <c r="H8" i="5"/>
  <c r="H9" i="5"/>
  <c r="H10" i="5"/>
  <c r="H11" i="5"/>
  <c r="H12" i="5"/>
  <c r="H13" i="5"/>
  <c r="H14" i="5"/>
  <c r="H15" i="5"/>
  <c r="H16" i="5"/>
  <c r="H17" i="5"/>
  <c r="H38" i="5"/>
  <c r="H39" i="5"/>
  <c r="H40" i="5"/>
  <c r="H23" i="5" l="1"/>
  <c r="L19" i="5" s="1"/>
  <c r="H26" i="5"/>
  <c r="L26" i="5" s="1"/>
  <c r="H25" i="5"/>
  <c r="L25" i="5" s="1"/>
  <c r="H24" i="5"/>
  <c r="L20" i="5" s="1"/>
  <c r="H4" i="5"/>
  <c r="H32" i="5"/>
  <c r="M32" i="5" s="1"/>
  <c r="H22" i="5"/>
  <c r="K20" i="5" s="1"/>
  <c r="H5" i="5"/>
  <c r="H31" i="5"/>
  <c r="M31" i="5" s="1"/>
  <c r="H30" i="5"/>
  <c r="M26" i="5" s="1"/>
  <c r="H20" i="5"/>
  <c r="J20" i="5" s="1"/>
  <c r="H29" i="5"/>
  <c r="M25" i="5" s="1"/>
  <c r="H21" i="5"/>
  <c r="K19" i="5" s="1"/>
  <c r="H27" i="5"/>
  <c r="M19" i="5" s="1"/>
  <c r="H19" i="5"/>
  <c r="J19" i="5" s="1"/>
  <c r="H41" i="5" l="1"/>
  <c r="J41" i="5" l="1"/>
  <c r="I41" i="5" s="1"/>
  <c r="C6" i="3"/>
  <c r="I6" i="3" s="1"/>
  <c r="I19" i="3" s="1"/>
  <c r="I32" i="3" s="1"/>
  <c r="I45" i="3" s="1"/>
  <c r="I58" i="3" s="1"/>
  <c r="I71" i="3" s="1"/>
  <c r="J36" i="1"/>
  <c r="D37" i="14" s="1"/>
  <c r="J42" i="1"/>
  <c r="AE55" i="1" l="1"/>
  <c r="AD55" i="1"/>
  <c r="K42" i="1"/>
  <c r="AD125" i="1" s="1"/>
  <c r="AH42" i="1"/>
  <c r="K36" i="1"/>
  <c r="AD119" i="1" s="1"/>
  <c r="AH36" i="1"/>
  <c r="C2" i="3"/>
  <c r="C19" i="3"/>
  <c r="C32" i="3" s="1"/>
  <c r="C45" i="3" s="1"/>
  <c r="C58" i="3" s="1"/>
  <c r="C71" i="3" s="1"/>
  <c r="B2" i="6" l="1"/>
  <c r="I2" i="3"/>
  <c r="I15" i="3" s="1"/>
  <c r="I28" i="3" s="1"/>
  <c r="I41" i="3" s="1"/>
  <c r="I54" i="3" s="1"/>
  <c r="I67" i="3" s="1"/>
  <c r="Y57" i="1"/>
  <c r="C15" i="3"/>
  <c r="C28" i="3" s="1"/>
  <c r="C41" i="3" s="1"/>
  <c r="C54" i="3" s="1"/>
  <c r="C67" i="3" s="1"/>
  <c r="W17" i="1" l="1"/>
  <c r="W18" i="1" s="1"/>
  <c r="W19" i="1" s="1"/>
  <c r="W20" i="1" s="1"/>
  <c r="W21" i="1" s="1"/>
  <c r="W22" i="1" s="1"/>
  <c r="W23" i="1" s="1"/>
  <c r="W24" i="1" s="1"/>
  <c r="W25" i="1" s="1"/>
  <c r="W26" i="1" s="1"/>
  <c r="W27" i="1" s="1"/>
  <c r="W28" i="1" s="1"/>
  <c r="W29" i="1" s="1"/>
  <c r="W30" i="1" s="1"/>
  <c r="W31" i="1" s="1"/>
  <c r="W32" i="1" s="1"/>
  <c r="W33" i="1" s="1"/>
  <c r="W34" i="1" s="1"/>
  <c r="W35" i="1" s="1"/>
  <c r="W36" i="1" s="1"/>
  <c r="W37" i="1" s="1"/>
  <c r="W38" i="1" s="1"/>
  <c r="W39" i="1" s="1"/>
  <c r="W40" i="1" s="1"/>
  <c r="W41" i="1" s="1"/>
  <c r="W42" i="1" s="1"/>
  <c r="W43" i="1" s="1"/>
  <c r="W44" i="1" s="1"/>
  <c r="W45" i="1" s="1"/>
  <c r="W46" i="1" s="1"/>
  <c r="I22" i="1" l="1"/>
  <c r="AH22" i="1" s="1"/>
  <c r="I23" i="1"/>
  <c r="AH23" i="1" s="1"/>
  <c r="I24" i="1"/>
  <c r="AH24" i="1" s="1"/>
  <c r="I25" i="1"/>
  <c r="AH25" i="1" s="1"/>
  <c r="I26" i="1"/>
  <c r="AH26" i="1" s="1"/>
  <c r="I27" i="1"/>
  <c r="AH27" i="1" s="1"/>
  <c r="I28" i="1"/>
  <c r="I29" i="1"/>
  <c r="I30" i="1"/>
  <c r="I21" i="1"/>
  <c r="AH21" i="1" s="1"/>
  <c r="H22" i="1"/>
  <c r="K22" i="1" s="1"/>
  <c r="AD105" i="1" s="1"/>
  <c r="H23" i="1"/>
  <c r="K23" i="1" s="1"/>
  <c r="AD106" i="1" s="1"/>
  <c r="H24" i="1"/>
  <c r="K24" i="1" s="1"/>
  <c r="AD107" i="1" s="1"/>
  <c r="H25" i="1"/>
  <c r="K25" i="1" s="1"/>
  <c r="AD108" i="1" s="1"/>
  <c r="H26" i="1"/>
  <c r="K26" i="1" s="1"/>
  <c r="AD109" i="1" s="1"/>
  <c r="H27" i="1"/>
  <c r="K27" i="1" s="1"/>
  <c r="AD110" i="1" s="1"/>
  <c r="H28" i="1"/>
  <c r="K28" i="1" s="1"/>
  <c r="AD111" i="1" s="1"/>
  <c r="H29" i="1"/>
  <c r="K29" i="1" s="1"/>
  <c r="AD112" i="1" s="1"/>
  <c r="H30" i="1"/>
  <c r="K30" i="1" s="1"/>
  <c r="AD113" i="1" s="1"/>
  <c r="H21" i="1"/>
  <c r="J18" i="1"/>
  <c r="I18" i="1"/>
  <c r="J9" i="1" s="1"/>
  <c r="H18" i="1"/>
  <c r="G18" i="1"/>
  <c r="F18" i="1"/>
  <c r="I7" i="14" l="1"/>
  <c r="K9" i="1"/>
  <c r="K21" i="1"/>
  <c r="AD104" i="1" s="1"/>
  <c r="O30" i="1"/>
  <c r="P30" i="1"/>
  <c r="O29" i="1"/>
  <c r="P29" i="1"/>
  <c r="O28" i="1"/>
  <c r="P28" i="1"/>
  <c r="O27" i="1"/>
  <c r="P27" i="1"/>
  <c r="O26" i="1"/>
  <c r="P26" i="1"/>
  <c r="P23" i="1"/>
  <c r="P25" i="1"/>
  <c r="P24" i="1"/>
  <c r="P22" i="1"/>
  <c r="P21" i="1"/>
  <c r="O25" i="1"/>
  <c r="O24" i="1"/>
  <c r="O22" i="1"/>
  <c r="O23" i="1"/>
  <c r="O21" i="1"/>
  <c r="K43" i="1" l="1"/>
  <c r="K77" i="1" s="1"/>
  <c r="E12" i="1" s="1"/>
  <c r="P43" i="1"/>
  <c r="G159" i="1"/>
  <c r="E74" i="1"/>
  <c r="O43" i="1" l="1"/>
  <c r="AD126" i="1"/>
  <c r="R34" i="1"/>
  <c r="R36" i="1" s="1"/>
  <c r="F76" i="1"/>
  <c r="C49" i="1"/>
  <c r="E48" i="1"/>
  <c r="J43" i="1"/>
  <c r="H48" i="1"/>
  <c r="G48" i="1"/>
  <c r="I48" i="1"/>
  <c r="D53" i="1" l="1"/>
  <c r="F58" i="1" s="1"/>
  <c r="G22" i="14"/>
  <c r="D13" i="1"/>
  <c r="G77" i="1" s="1"/>
  <c r="F12" i="1"/>
  <c r="L42" i="1"/>
  <c r="L36" i="1"/>
  <c r="D48" i="1"/>
  <c r="F48" i="1"/>
  <c r="L28" i="1"/>
  <c r="L24" i="1"/>
  <c r="L29" i="1"/>
  <c r="L40" i="1"/>
  <c r="L39" i="1"/>
  <c r="L27" i="1"/>
  <c r="L37" i="1"/>
  <c r="L32" i="1"/>
  <c r="L26" i="1"/>
  <c r="L31" i="1"/>
  <c r="L35" i="1"/>
  <c r="L21" i="1"/>
  <c r="L25" i="1"/>
  <c r="L30" i="1"/>
  <c r="L38" i="1"/>
  <c r="L23" i="1"/>
  <c r="L33" i="1"/>
  <c r="L22" i="1"/>
  <c r="L34" i="1"/>
  <c r="L41" i="1"/>
  <c r="AH43" i="1"/>
  <c r="G57" i="1" l="1"/>
  <c r="I57" i="1"/>
  <c r="B54" i="1"/>
  <c r="D54" i="1" s="1"/>
  <c r="B62" i="1" s="1"/>
  <c r="E59" i="1"/>
  <c r="E61" i="1"/>
  <c r="H58" i="1"/>
  <c r="I59" i="1"/>
  <c r="D55" i="1"/>
  <c r="G60" i="1"/>
  <c r="E13" i="1"/>
  <c r="AD21" i="1" s="1"/>
  <c r="H77" i="1"/>
  <c r="J77" i="1"/>
  <c r="D12" i="1"/>
  <c r="L43" i="1"/>
  <c r="H56" i="1"/>
  <c r="J61" i="1"/>
  <c r="E56" i="1"/>
  <c r="J60" i="1"/>
  <c r="V26" i="1"/>
  <c r="V35" i="1"/>
  <c r="Y37" i="1"/>
  <c r="X37" i="1" s="1"/>
  <c r="Y28" i="1"/>
  <c r="X28" i="1" s="1"/>
  <c r="V19" i="1"/>
  <c r="V32" i="1"/>
  <c r="V27" i="1"/>
  <c r="V36" i="1"/>
  <c r="Y39" i="1"/>
  <c r="X39" i="1" s="1"/>
  <c r="Y31" i="1"/>
  <c r="X31" i="1" s="1"/>
  <c r="V34" i="1"/>
  <c r="Y23" i="1"/>
  <c r="X23" i="1" s="1"/>
  <c r="D4" i="1"/>
  <c r="Z9" i="1" s="1"/>
  <c r="Y40" i="1"/>
  <c r="X40" i="1" s="1"/>
  <c r="V28" i="1"/>
  <c r="Y30" i="1"/>
  <c r="X30" i="1" s="1"/>
  <c r="Y32" i="1"/>
  <c r="X32" i="1" s="1"/>
  <c r="V43" i="1"/>
  <c r="Y18" i="1"/>
  <c r="X18" i="1" s="1"/>
  <c r="Y43" i="1"/>
  <c r="X43" i="1" s="1"/>
  <c r="V41" i="1"/>
  <c r="Y35" i="1"/>
  <c r="X35" i="1" s="1"/>
  <c r="Y27" i="1"/>
  <c r="X27" i="1" s="1"/>
  <c r="V20" i="1"/>
  <c r="Y19" i="1"/>
  <c r="X19" i="1" s="1"/>
  <c r="V23" i="1"/>
  <c r="V31" i="1"/>
  <c r="Y24" i="1"/>
  <c r="X24" i="1" s="1"/>
  <c r="Y38" i="1"/>
  <c r="X38" i="1" s="1"/>
  <c r="V17" i="1"/>
  <c r="V46" i="1"/>
  <c r="Y46" i="1"/>
  <c r="X46" i="1" s="1"/>
  <c r="V42" i="1"/>
  <c r="Y21" i="1"/>
  <c r="X21" i="1" s="1"/>
  <c r="V33" i="1"/>
  <c r="Y36" i="1"/>
  <c r="X36" i="1" s="1"/>
  <c r="Y34" i="1"/>
  <c r="X34" i="1" s="1"/>
  <c r="V30" i="1"/>
  <c r="V22" i="1"/>
  <c r="V25" i="1"/>
  <c r="Y22" i="1"/>
  <c r="X22" i="1" s="1"/>
  <c r="V39" i="1"/>
  <c r="Y45" i="1"/>
  <c r="X45" i="1" s="1"/>
  <c r="V44" i="1"/>
  <c r="Y20" i="1"/>
  <c r="X20" i="1" s="1"/>
  <c r="V40" i="1"/>
  <c r="Y42" i="1"/>
  <c r="X42" i="1" s="1"/>
  <c r="V24" i="1"/>
  <c r="Y26" i="1"/>
  <c r="X26" i="1" s="1"/>
  <c r="V38" i="1"/>
  <c r="V18" i="1"/>
  <c r="Y29" i="1"/>
  <c r="X29" i="1" s="1"/>
  <c r="Y33" i="1"/>
  <c r="X33" i="1" s="1"/>
  <c r="Y44" i="1"/>
  <c r="X44" i="1" s="1"/>
  <c r="Y25" i="1"/>
  <c r="X25" i="1" s="1"/>
  <c r="V45" i="1"/>
  <c r="V37" i="1"/>
  <c r="V29" i="1"/>
  <c r="V21" i="1"/>
  <c r="Y41" i="1"/>
  <c r="X41" i="1" s="1"/>
  <c r="Y17" i="1"/>
  <c r="X17" i="1" s="1"/>
  <c r="AD27" i="1" l="1"/>
  <c r="Z6" i="1" s="1"/>
  <c r="AE6" i="1" s="1"/>
  <c r="J84" i="1"/>
  <c r="K84" i="1"/>
  <c r="I62" i="1"/>
  <c r="G25" i="14"/>
  <c r="G27" i="14" s="1"/>
  <c r="G62" i="1"/>
  <c r="T55" i="1"/>
  <c r="R55" i="1" s="1"/>
  <c r="H62" i="1"/>
  <c r="F62" i="1"/>
  <c r="K82" i="1"/>
  <c r="M89" i="1"/>
  <c r="J89" i="1"/>
  <c r="M90" i="1"/>
  <c r="J90" i="1"/>
  <c r="AD86" i="1"/>
  <c r="K88" i="1"/>
  <c r="K90" i="1"/>
  <c r="K83" i="1"/>
  <c r="K87" i="1"/>
  <c r="K89" i="1"/>
  <c r="G26" i="14"/>
  <c r="S55" i="1"/>
  <c r="AD82" i="1"/>
  <c r="AD84" i="1"/>
  <c r="AD83" i="1"/>
  <c r="M88" i="1"/>
  <c r="J88" i="1"/>
  <c r="J87" i="1"/>
  <c r="J83" i="1"/>
  <c r="M87" i="1"/>
  <c r="M82" i="1"/>
  <c r="J82" i="1"/>
  <c r="M83" i="1"/>
  <c r="F77" i="1"/>
  <c r="F13" i="1"/>
  <c r="Z5" i="1"/>
  <c r="AE5" i="1" s="1"/>
  <c r="M97" i="1"/>
  <c r="M105" i="1"/>
  <c r="M113" i="1"/>
  <c r="M121" i="1"/>
  <c r="M129" i="1"/>
  <c r="M137" i="1"/>
  <c r="M145" i="1"/>
  <c r="M99" i="1"/>
  <c r="M107" i="1"/>
  <c r="M115" i="1"/>
  <c r="M131" i="1"/>
  <c r="M100" i="1"/>
  <c r="M124" i="1"/>
  <c r="M140" i="1"/>
  <c r="M143" i="1"/>
  <c r="M104" i="1"/>
  <c r="M120" i="1"/>
  <c r="M98" i="1"/>
  <c r="M106" i="1"/>
  <c r="M114" i="1"/>
  <c r="M122" i="1"/>
  <c r="M130" i="1"/>
  <c r="M138" i="1"/>
  <c r="M146" i="1"/>
  <c r="M123" i="1"/>
  <c r="M92" i="1"/>
  <c r="M116" i="1"/>
  <c r="M132" i="1"/>
  <c r="M95" i="1"/>
  <c r="M111" i="1"/>
  <c r="M127" i="1"/>
  <c r="M96" i="1"/>
  <c r="M112" i="1"/>
  <c r="M128" i="1"/>
  <c r="M91" i="1"/>
  <c r="M139" i="1"/>
  <c r="M108" i="1"/>
  <c r="M93" i="1"/>
  <c r="M101" i="1"/>
  <c r="M109" i="1"/>
  <c r="M117" i="1"/>
  <c r="M125" i="1"/>
  <c r="M133" i="1"/>
  <c r="M141" i="1"/>
  <c r="M103" i="1"/>
  <c r="M119" i="1"/>
  <c r="M135" i="1"/>
  <c r="M136" i="1"/>
  <c r="M94" i="1"/>
  <c r="M102" i="1"/>
  <c r="M110" i="1"/>
  <c r="M118" i="1"/>
  <c r="M126" i="1"/>
  <c r="M134" i="1"/>
  <c r="M142" i="1"/>
  <c r="M144" i="1"/>
  <c r="AD91" i="1"/>
  <c r="AA52" i="1"/>
  <c r="E62" i="1" l="1"/>
  <c r="R60" i="1"/>
  <c r="Z12" i="1"/>
  <c r="Y53" i="1"/>
  <c r="Z53" i="1" s="1"/>
  <c r="J62" i="1"/>
  <c r="J148" i="1"/>
  <c r="C4" i="1"/>
  <c r="AB88" i="1"/>
  <c r="B4" i="1"/>
  <c r="AE27" i="1"/>
  <c r="AE30" i="1" s="1"/>
  <c r="J147" i="1"/>
  <c r="AD35" i="1"/>
  <c r="K147" i="1"/>
  <c r="M147" i="1"/>
  <c r="Z10" i="1"/>
  <c r="E147" i="1"/>
  <c r="K62" i="1" l="1"/>
  <c r="AD145" i="1" s="1"/>
  <c r="Y52" i="1"/>
  <c r="Z52" i="1" s="1"/>
  <c r="G11" i="1"/>
  <c r="G14" i="1"/>
  <c r="G13" i="1"/>
  <c r="G12" i="1"/>
  <c r="K44" i="1" s="1"/>
  <c r="AD37" i="1"/>
  <c r="C3" i="3"/>
  <c r="Z8" i="1"/>
  <c r="Z11" i="1" s="1"/>
  <c r="AD127" i="1" l="1"/>
  <c r="Z7" i="1"/>
  <c r="B3" i="6"/>
  <c r="I3" i="3"/>
  <c r="I16" i="3" s="1"/>
  <c r="I29" i="3" s="1"/>
  <c r="I42" i="3" s="1"/>
  <c r="I55" i="3" s="1"/>
  <c r="I68" i="3" s="1"/>
  <c r="C16" i="3"/>
  <c r="C29" i="3" s="1"/>
  <c r="C42" i="3" s="1"/>
  <c r="C55" i="3" s="1"/>
  <c r="C6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Arnaud Gantenbein</author>
  </authors>
  <commentList>
    <comment ref="E54" authorId="0" shapeId="0" xr:uid="{2067861B-ED07-CC40-AF83-0B65323A7DA6}">
      <text>
        <r>
          <rPr>
            <b/>
            <sz val="10"/>
            <color rgb="FF000000"/>
            <rFont val="Tahoma"/>
            <family val="2"/>
          </rPr>
          <t>Arnaud Gantenbein:</t>
        </r>
        <r>
          <rPr>
            <sz val="10"/>
            <color rgb="FF000000"/>
            <rFont val="Tahoma"/>
            <family val="2"/>
          </rPr>
          <t xml:space="preserve">
</t>
        </r>
        <r>
          <rPr>
            <sz val="10"/>
            <color rgb="FF000000"/>
            <rFont val="Calibri"/>
            <family val="2"/>
          </rPr>
          <t xml:space="preserve">Les ions calcium ont plusieurs rôles. Ils sont nécessaires à l'activité des enzymes, et permettent ensuite de stabiliser la bière en floculant les levures. Il augmente aussi l'acidité du brassin en réagissant avec les phosphates du malt. Des concentrations entre 50 et 150 mg/L sont à favoriser, le gypse (CaSO4) étant généralement utilisé comme source de calcium.
</t>
        </r>
      </text>
    </comment>
    <comment ref="G54" authorId="0" shapeId="0" xr:uid="{D0DA55D4-15A1-1145-B4DC-087C2E947D2D}">
      <text>
        <r>
          <rPr>
            <b/>
            <sz val="10"/>
            <color rgb="FF000000"/>
            <rFont val="Tahoma"/>
            <family val="2"/>
          </rPr>
          <t>Arnaud Gantenbein:</t>
        </r>
        <r>
          <rPr>
            <sz val="10"/>
            <color rgb="FF000000"/>
            <rFont val="Tahoma"/>
            <family val="2"/>
          </rPr>
          <t xml:space="preserve">
</t>
        </r>
        <r>
          <rPr>
            <sz val="10"/>
            <color rgb="FF000000"/>
            <rFont val="Calibri"/>
            <family val="2"/>
          </rPr>
          <t>Typique des porters, le sodium apporte du corps et de la rondeur à la bière. Attention, en grande quantité (&lt; 200 mg/L) il peut donner un goût salé peu agréable.</t>
        </r>
      </text>
    </comment>
    <comment ref="H54" authorId="0" shapeId="0" xr:uid="{7D97AC0F-5C5F-104D-A2A3-46E116F001F3}">
      <text>
        <r>
          <rPr>
            <b/>
            <sz val="10"/>
            <color rgb="FF000000"/>
            <rFont val="Tahoma"/>
            <family val="2"/>
          </rPr>
          <t>Arnaud Gantenbein:</t>
        </r>
        <r>
          <rPr>
            <sz val="10"/>
            <color rgb="FF000000"/>
            <rFont val="Tahoma"/>
            <family val="2"/>
          </rPr>
          <t xml:space="preserve">
</t>
        </r>
        <r>
          <rPr>
            <sz val="10"/>
            <color rgb="FF000000"/>
            <rFont val="Calibri"/>
            <family val="2"/>
          </rPr>
          <t xml:space="preserve">Lui aussi influe beaucoup sur le goût de la bière, mais à l'inverse du chlorure il favorise l'amertume du houblon. Sa concentration est donc à choisir en fonction du profil de houblonnage, entre:
</t>
        </r>
        <r>
          <rPr>
            <sz val="10"/>
            <color rgb="FF000000"/>
            <rFont val="Calibri"/>
            <family val="2"/>
          </rPr>
          <t xml:space="preserve">10 et 50 mg/L pour les blondes légère
</t>
        </r>
        <r>
          <rPr>
            <sz val="10"/>
            <color rgb="FF000000"/>
            <rFont val="Calibri"/>
            <family val="2"/>
          </rPr>
          <t xml:space="preserve">30 et 70 mg/L pour les bières communes
</t>
        </r>
        <r>
          <rPr>
            <sz val="10"/>
            <color rgb="FF000000"/>
            <rFont val="Calibri"/>
            <family val="2"/>
          </rPr>
          <t xml:space="preserve">120 mg/L pour des bières plus houblonnées.
</t>
        </r>
        <r>
          <rPr>
            <sz val="10"/>
            <color rgb="FF000000"/>
            <rFont val="Calibri"/>
            <family val="2"/>
          </rPr>
          <t>À titre d'exemple, l'eau de Burton-on-Trent à l'origine des India Pale Ale a des taux de sulfates montant jusqu'à 900 mg/L !</t>
        </r>
      </text>
    </comment>
    <comment ref="I54" authorId="0" shapeId="0" xr:uid="{F64E4753-DCAC-E94D-9622-1D84887C4C4B}">
      <text>
        <r>
          <rPr>
            <b/>
            <sz val="10"/>
            <color rgb="FF000000"/>
            <rFont val="Tahoma"/>
            <family val="2"/>
          </rPr>
          <t>Arnaud Gantenbein:</t>
        </r>
        <r>
          <rPr>
            <sz val="10"/>
            <color rgb="FF000000"/>
            <rFont val="Tahoma"/>
            <family val="2"/>
          </rPr>
          <t xml:space="preserve">
</t>
        </r>
        <r>
          <rPr>
            <sz val="10"/>
            <color rgb="FF000000"/>
            <rFont val="Calibri"/>
            <family val="2"/>
          </rPr>
          <t>Lui aussi permet de parfumer la bière an accentuant notamment le goût du malt, mais ses effets à forte dose (&lt; 180 mg/L) se révèlent très problématiques, puisqu'il favorise la formation de chlorophénol au goût médicamenteux. Utilisé pour des raisons sanitaires, le chlore peut être facilement éliminé par décantation.</t>
        </r>
      </text>
    </comment>
    <comment ref="J54" authorId="0" shapeId="0" xr:uid="{2FCB29CC-4FAE-A94D-958A-8735072E5922}">
      <text>
        <r>
          <rPr>
            <b/>
            <sz val="10"/>
            <color rgb="FF000000"/>
            <rFont val="Tahoma"/>
            <family val="2"/>
          </rPr>
          <t>Arnaud Gantenbein:</t>
        </r>
        <r>
          <rPr>
            <sz val="10"/>
            <color rgb="FF000000"/>
            <rFont val="Tahoma"/>
            <family val="2"/>
          </rPr>
          <t xml:space="preserve">
</t>
        </r>
        <r>
          <rPr>
            <sz val="10"/>
            <color rgb="FF000000"/>
            <rFont val="Calibri"/>
            <family val="2"/>
          </rPr>
          <t xml:space="preserve">Généralement, les concentrations idéales varient entre:
</t>
        </r>
        <r>
          <rPr>
            <sz val="10"/>
            <color rgb="FF000000"/>
            <rFont val="Calibri"/>
            <family val="2"/>
          </rPr>
          <t xml:space="preserve">0-50 mg/L pour les bières blondes;
</t>
        </r>
        <r>
          <rPr>
            <sz val="10"/>
            <color rgb="FF000000"/>
            <rFont val="Calibri"/>
            <family val="2"/>
          </rPr>
          <t xml:space="preserve">50-150 pour les bières ambrées
</t>
        </r>
        <r>
          <rPr>
            <sz val="10"/>
            <color rgb="FF000000"/>
            <rFont val="Calibri"/>
            <family val="2"/>
          </rPr>
          <t>150-250 pour les bières brunes.</t>
        </r>
      </text>
    </comment>
  </commentList>
</comments>
</file>

<file path=xl/sharedStrings.xml><?xml version="1.0" encoding="utf-8"?>
<sst xmlns="http://schemas.openxmlformats.org/spreadsheetml/2006/main" count="6802" uniqueCount="2957">
  <si>
    <t>EMPATAGE</t>
  </si>
  <si>
    <t>Autre :</t>
  </si>
  <si>
    <t>Rendement</t>
  </si>
  <si>
    <t>EBC</t>
  </si>
  <si>
    <t>Kilos</t>
  </si>
  <si>
    <t>TOTAL</t>
  </si>
  <si>
    <t>- de corps</t>
  </si>
  <si>
    <t>+ corps</t>
  </si>
  <si>
    <t>moyen</t>
  </si>
  <si>
    <t>Palier 1</t>
  </si>
  <si>
    <t>Palier 2</t>
  </si>
  <si>
    <t>Palier 3</t>
  </si>
  <si>
    <t>Durée</t>
  </si>
  <si>
    <t>Mash out</t>
  </si>
  <si>
    <t>Empatage</t>
  </si>
  <si>
    <t>Rinçage</t>
  </si>
  <si>
    <t>P°</t>
  </si>
  <si>
    <t>Densité</t>
  </si>
  <si>
    <t>CONVERSION</t>
  </si>
  <si>
    <t>INGREDIENTS</t>
  </si>
  <si>
    <t>bière plus sombre qu’attendu</t>
  </si>
  <si>
    <t>amertume plus agressive</t>
  </si>
  <si>
    <t>amertume moins forte</t>
  </si>
  <si>
    <t>moins de corps</t>
  </si>
  <si>
    <t>% acide alfa</t>
  </si>
  <si>
    <t>IBU</t>
  </si>
  <si>
    <t>Maische</t>
  </si>
  <si>
    <t>TOTAL:</t>
  </si>
  <si>
    <t>Houblons</t>
  </si>
  <si>
    <t xml:space="preserve">Rendement: </t>
  </si>
  <si>
    <t>Volume:</t>
  </si>
  <si>
    <t>Objectif</t>
  </si>
  <si>
    <t>Brassage</t>
  </si>
  <si>
    <t>Transfert</t>
  </si>
  <si>
    <t>Embouteillage</t>
  </si>
  <si>
    <t>Primaire</t>
  </si>
  <si>
    <t>Secondaire</t>
  </si>
  <si>
    <t>Date</t>
  </si>
  <si>
    <t>EMBOUTEILLAGE</t>
  </si>
  <si>
    <t>LEVURE</t>
  </si>
  <si>
    <t>Attenuation</t>
  </si>
  <si>
    <t>Lager</t>
  </si>
  <si>
    <t>Medium</t>
  </si>
  <si>
    <t>Ale</t>
  </si>
  <si>
    <t>Low</t>
  </si>
  <si>
    <t>Med-High</t>
  </si>
  <si>
    <t>Med-Low</t>
  </si>
  <si>
    <t>High</t>
  </si>
  <si>
    <t>Flocculation</t>
  </si>
  <si>
    <t>Temp.</t>
  </si>
  <si>
    <t>Type</t>
  </si>
  <si>
    <t>Wheat</t>
  </si>
  <si>
    <t>MJ - Bavarian Lager M76</t>
  </si>
  <si>
    <t>MJ - Bavarian Wheat Yeast M20</t>
  </si>
  <si>
    <t>MJ - Belgian Abbey M47</t>
  </si>
  <si>
    <t>MJ - Belgian Ale Yeast M41</t>
  </si>
  <si>
    <t>MJ - Belgian Tripel M31</t>
  </si>
  <si>
    <t>MJ - Belgian Wit M21</t>
  </si>
  <si>
    <t>MJ - Bohemian Lager Yeast M84</t>
  </si>
  <si>
    <t>MJ - British Ale Yeast M07</t>
  </si>
  <si>
    <t>MJ - Burton Union Yeast M79</t>
  </si>
  <si>
    <t>MJ - Californian Lager M54</t>
  </si>
  <si>
    <t>MJ - Empire Ale M15</t>
  </si>
  <si>
    <t>MJ - French Saison Ale M29</t>
  </si>
  <si>
    <t>MJ - Liberty Bell Ale M36</t>
  </si>
  <si>
    <t>MJ - New World Strong Ale M42</t>
  </si>
  <si>
    <t>MJ - Newcastle Dark Ale Yeast M03</t>
  </si>
  <si>
    <t>MJ - US West Coast Yeast M44</t>
  </si>
  <si>
    <t>MJ - Workhorse Beer Yeast M10</t>
  </si>
  <si>
    <t>FERM Safale - American Ale Yeast US-05</t>
  </si>
  <si>
    <t>FERM Safale - American Ale Yeast US-56</t>
  </si>
  <si>
    <t>FERM Safale - Belgian Saison Ale Yeast BE-134</t>
  </si>
  <si>
    <t>FERM Safale - English Ale Yeast S-04</t>
  </si>
  <si>
    <t>FERM Safale - German Ale Yeast K-97</t>
  </si>
  <si>
    <t>FERM Safbrew - Abbaye Yeast BE-256</t>
  </si>
  <si>
    <t>FERM Safbrew - General/Belgian Yeast S-33</t>
  </si>
  <si>
    <t>FERM Safbrew - Specialty Ale Yeast T-58</t>
  </si>
  <si>
    <t>FERM Safbrew - Wheat Beer Yeast WB-06</t>
  </si>
  <si>
    <t>FERM Saflager - German Lager Yeast S-23</t>
  </si>
  <si>
    <t>FERM Saflager - German Lager Yeast W-34/70</t>
  </si>
  <si>
    <t>FERM Saflager - Swiss Lager Yeast S-189</t>
  </si>
  <si>
    <t>LEVURES</t>
  </si>
  <si>
    <t>MALTS</t>
  </si>
  <si>
    <t>Weyermann - Abbey Malt</t>
  </si>
  <si>
    <t>Base malt</t>
  </si>
  <si>
    <t>Weyermann - Acidulated</t>
  </si>
  <si>
    <t>Acidulated malt</t>
  </si>
  <si>
    <t>Weyermann - Barke Munich Malt</t>
  </si>
  <si>
    <t>Weyermann - Barke Pilsner Malt</t>
  </si>
  <si>
    <t>Weyermann - Barke Vienna</t>
  </si>
  <si>
    <t>Weyermann - Beech Smoked Barley</t>
  </si>
  <si>
    <t>Roasted malt</t>
  </si>
  <si>
    <t>Weyermann - BIOLAND Pilsner Malt (Organic)</t>
  </si>
  <si>
    <t>Weyermann - Bohemian Pilsner Malt</t>
  </si>
  <si>
    <t>Weyermann - CaraAmber</t>
  </si>
  <si>
    <t>Crystal malt</t>
  </si>
  <si>
    <t>Weyermann - CaraAroma</t>
  </si>
  <si>
    <t>Weyermann - CARABELGE</t>
  </si>
  <si>
    <t>Weyermann - Carafa I</t>
  </si>
  <si>
    <t>Weyermann - Carafa III</t>
  </si>
  <si>
    <t>Weyermann - Carafa Special Type 1</t>
  </si>
  <si>
    <t>Weyermann - Carafa Special Type III</t>
  </si>
  <si>
    <t>Weyermann - Carafoam</t>
  </si>
  <si>
    <t>Weyermann - Carahell</t>
  </si>
  <si>
    <t>Weyermann - Caramunich Type 1</t>
  </si>
  <si>
    <t>Weyermann - Caramunich Type 2</t>
  </si>
  <si>
    <t>Weyermann - Caramunich Type 3</t>
  </si>
  <si>
    <t>Weyermann - Carapils</t>
  </si>
  <si>
    <t>Weyermann - Chocolate Rye</t>
  </si>
  <si>
    <t>Weyermann - Cologne Malt</t>
  </si>
  <si>
    <t>Weyermann - Dark Wheat Malt</t>
  </si>
  <si>
    <t>Weyermann - Extra Pale Premium Pilsner Malt</t>
  </si>
  <si>
    <t>Weyermann - Munich Dark</t>
  </si>
  <si>
    <t>Weyermann - Munich Type I</t>
  </si>
  <si>
    <t>Weyermann - Oak Smoked Wheat Malt</t>
  </si>
  <si>
    <t>Weyermann - Pale Ale</t>
  </si>
  <si>
    <t>Weyermann - Pale Rye</t>
  </si>
  <si>
    <t>Weyermann - Pale Wheat</t>
  </si>
  <si>
    <t>Weyermann - Pilsner</t>
  </si>
  <si>
    <t>Weyermann - Roasted Barley</t>
  </si>
  <si>
    <t>Weyermann - Schill Cologne</t>
  </si>
  <si>
    <t>Weyermann - Special W</t>
  </si>
  <si>
    <t>Weyermann - Vienna Malt</t>
  </si>
  <si>
    <t>Raw</t>
  </si>
  <si>
    <t>Simpsons - Best Pale Ale</t>
  </si>
  <si>
    <t>Simpsons - Black Malt</t>
  </si>
  <si>
    <t>Simpsons - CaraMalt</t>
  </si>
  <si>
    <t>Simpsons - CaraMalt Light</t>
  </si>
  <si>
    <t>Simpsons - Chocolate Malt</t>
  </si>
  <si>
    <t>Simpsons - Crisp Amber Malt</t>
  </si>
  <si>
    <t>Simpsons - Crystal Dark</t>
  </si>
  <si>
    <t>Simpsons - Crystal Medium</t>
  </si>
  <si>
    <t>Simpsons - DRC</t>
  </si>
  <si>
    <t>Simpsons - Extra Pale Ale Malt</t>
  </si>
  <si>
    <t>Simpsons - Finest Lager Malt</t>
  </si>
  <si>
    <t>Simpsons - Finest Pale Ale Maris Otter</t>
  </si>
  <si>
    <t>Simpsons - Golden Promise</t>
  </si>
  <si>
    <t>Simpsons - Heritage Crystal</t>
  </si>
  <si>
    <t>Simpsons - Light Crystal</t>
  </si>
  <si>
    <t>Simpsons - Maris Otter pale</t>
  </si>
  <si>
    <t>Simpsons - Munich Malt</t>
  </si>
  <si>
    <t>Simpsons - Oat Malt</t>
  </si>
  <si>
    <t>Simpsons - Pale 2-Row</t>
  </si>
  <si>
    <t>Simpsons - T50</t>
  </si>
  <si>
    <t>Simpsons - Vienna</t>
  </si>
  <si>
    <t>Simpsons - Wheat</t>
  </si>
  <si>
    <t>Nom</t>
  </si>
  <si>
    <t>Flocons Orge</t>
  </si>
  <si>
    <t>Flocons Mais</t>
  </si>
  <si>
    <t>Flocons Avoine</t>
  </si>
  <si>
    <t>Flocons Riz</t>
  </si>
  <si>
    <t>Flocons Seigle</t>
  </si>
  <si>
    <t>Flocons Blé/Froment</t>
  </si>
  <si>
    <t>FERMENTABLES</t>
  </si>
  <si>
    <t>--ROASTED MALTS</t>
  </si>
  <si>
    <t>--FLOCONS</t>
  </si>
  <si>
    <t>--CRYSTAL MALT</t>
  </si>
  <si>
    <t>--ACIDULATED</t>
  </si>
  <si>
    <t>--BASE MALT</t>
  </si>
  <si>
    <t>Tolérence Alcool</t>
  </si>
  <si>
    <t>62°</t>
  </si>
  <si>
    <t xml:space="preserve">70° </t>
  </si>
  <si>
    <t>Weissbier</t>
  </si>
  <si>
    <t>Stout</t>
  </si>
  <si>
    <t>Imperial Stout</t>
  </si>
  <si>
    <t>Pale lager, Witbier, Pilsener, Berliner Weisse</t>
  </si>
  <si>
    <t>Maibock, Blonde Ale</t>
  </si>
  <si>
    <t>American Pale Ale, India Pale Ale</t>
  </si>
  <si>
    <t>Weissbier, Saison</t>
  </si>
  <si>
    <t>English Bitter, ESB</t>
  </si>
  <si>
    <t>Biere de Garde, Double IPA</t>
  </si>
  <si>
    <t>Dark lager, Vienna lager, Marzen, Amber Ale</t>
  </si>
  <si>
    <t>Brown Ale, Bock, Dunkel, Dunkelweizen</t>
  </si>
  <si>
    <t>Irish Dry Stout, Doppelbock, Porter</t>
  </si>
  <si>
    <t>Foreign Stout, Baltic Porter</t>
  </si>
  <si>
    <t>C R A F T</t>
  </si>
  <si>
    <t>Brassée avec amour et persévérance à Corseaux City.</t>
  </si>
  <si>
    <t>Temp. Min</t>
  </si>
  <si>
    <t>Temp. Max</t>
  </si>
  <si>
    <t>Bière</t>
  </si>
  <si>
    <t>TOTAL Maishe</t>
  </si>
  <si>
    <t>Malodextrine:</t>
  </si>
  <si>
    <t>extrait/restant:</t>
  </si>
  <si>
    <t>ALpoid%</t>
  </si>
  <si>
    <t>TOTAL Sucres</t>
  </si>
  <si>
    <t>Prévision Vol% d'alcool</t>
  </si>
  <si>
    <t>Beta-Amylase: Crée du maltose (fermentescible)
- de corps</t>
  </si>
  <si>
    <t>Alpha-Amylase 70°: Crée des dextrines
+ de corps</t>
  </si>
  <si>
    <t>Température</t>
  </si>
  <si>
    <t>Temp. Amb.</t>
  </si>
  <si>
    <t>Flocc.</t>
  </si>
  <si>
    <t>Durée de l'ébulition:</t>
  </si>
  <si>
    <t>Malt</t>
  </si>
  <si>
    <t>Houblon</t>
  </si>
  <si>
    <t>Caramalt</t>
  </si>
  <si>
    <t>Briess</t>
  </si>
  <si>
    <t>Pauls</t>
  </si>
  <si>
    <t>Muntons</t>
  </si>
  <si>
    <t>Fawcett</t>
  </si>
  <si>
    <t>Weyerman</t>
  </si>
  <si>
    <t>Baird</t>
  </si>
  <si>
    <t>Weissheimer</t>
  </si>
  <si>
    <t>DWC</t>
  </si>
  <si>
    <t>MFB</t>
  </si>
  <si>
    <t>2-Row Pale</t>
  </si>
  <si>
    <t>Pilsen</t>
  </si>
  <si>
    <t>Pilsner, Premium Pilsner</t>
  </si>
  <si>
    <t>—</t>
  </si>
  <si>
    <t>Pale Ale</t>
  </si>
  <si>
    <t>Maris Otter, Halcyon, Optic,</t>
  </si>
  <si>
    <t>Pearl, Golden Promise</t>
  </si>
  <si>
    <t>Stout Malt</t>
  </si>
  <si>
    <t>Halcyon</t>
  </si>
  <si>
    <t>Ashburne</t>
  </si>
  <si>
    <t>Mild Ale</t>
  </si>
  <si>
    <t>Vienna</t>
  </si>
  <si>
    <t>Sp. Aromatic</t>
  </si>
  <si>
    <t>Bonlander</t>
  </si>
  <si>
    <t>Munich</t>
  </si>
  <si>
    <t>Munich I</t>
  </si>
  <si>
    <t>Munich 10</t>
  </si>
  <si>
    <t>Munich II</t>
  </si>
  <si>
    <t>Dark Munich</t>
  </si>
  <si>
    <t>Dextrine</t>
  </si>
  <si>
    <t>CaraPils</t>
  </si>
  <si>
    <t>Victory</t>
  </si>
  <si>
    <t>Amber</t>
  </si>
  <si>
    <t>Melanoidin</t>
  </si>
  <si>
    <t>Biscuit, Aromatic</t>
  </si>
  <si>
    <t>Kiln Amber</t>
  </si>
  <si>
    <t>Crystal 10</t>
  </si>
  <si>
    <t>Carapils</t>
  </si>
  <si>
    <t>CaraMalt</t>
  </si>
  <si>
    <t>CaraHell / (CaraBelge)</t>
  </si>
  <si>
    <t>Light Carastan</t>
  </si>
  <si>
    <t>Light Caramel</t>
  </si>
  <si>
    <t>Caramel Pilsen</t>
  </si>
  <si>
    <t>Crystal 20</t>
  </si>
  <si>
    <t>CaraRed</t>
  </si>
  <si>
    <t>CaraVienne</t>
  </si>
  <si>
    <t>Caramel Vienna</t>
  </si>
  <si>
    <t>Crystal 30</t>
  </si>
  <si>
    <t>Pale Crystal Malt</t>
  </si>
  <si>
    <t>CaraMunich I, CaraAmber</t>
  </si>
  <si>
    <t>Carastan</t>
  </si>
  <si>
    <t>Caramel Amber</t>
  </si>
  <si>
    <t>Crystal 40</t>
  </si>
  <si>
    <t>Light Crystal</t>
  </si>
  <si>
    <t>Crystal Malt (40 – 50)</t>
  </si>
  <si>
    <t>CaraMunich II</t>
  </si>
  <si>
    <t>Medium Caramel</t>
  </si>
  <si>
    <t>Caramel Munich 40</t>
  </si>
  <si>
    <t>Crystal 60</t>
  </si>
  <si>
    <t>Medium Crystal</t>
  </si>
  <si>
    <t>Crystal Malt II (60 – 70)</t>
  </si>
  <si>
    <t>CaraMunich III</t>
  </si>
  <si>
    <t>Dark Caramel</t>
  </si>
  <si>
    <t>Caramunich</t>
  </si>
  <si>
    <t>Caramel Munich 60</t>
  </si>
  <si>
    <t>Crystal 80</t>
  </si>
  <si>
    <t>Dark Crystal</t>
  </si>
  <si>
    <t>Dark Crystal (85 – 95)</t>
  </si>
  <si>
    <t>Crystal Malt</t>
  </si>
  <si>
    <t>Dark Caramunich</t>
  </si>
  <si>
    <t>Caramel Munich 80</t>
  </si>
  <si>
    <t>Crystal 90</t>
  </si>
  <si>
    <t>Crystal 120</t>
  </si>
  <si>
    <t>Dark Crystal II (118 -124)</t>
  </si>
  <si>
    <t>CaraAroma, Special W</t>
  </si>
  <si>
    <t>Special B</t>
  </si>
  <si>
    <t>Caramel Munich 120</t>
  </si>
  <si>
    <t>CaraAroma</t>
  </si>
  <si>
    <t>Special Roast</t>
  </si>
  <si>
    <t>Brown Malt</t>
  </si>
  <si>
    <t>Extra Special</t>
  </si>
  <si>
    <t>Kiln Coffee</t>
  </si>
  <si>
    <t>Pale Chocolate</t>
  </si>
  <si>
    <t>Carafa (Special) I</t>
  </si>
  <si>
    <t>Chocolate</t>
  </si>
  <si>
    <t>Carafa (Special) II</t>
  </si>
  <si>
    <t>Black Patent</t>
  </si>
  <si>
    <t>Black Malt</t>
  </si>
  <si>
    <t>Carafa (Special) III</t>
  </si>
  <si>
    <t>Roasted Malt</t>
  </si>
  <si>
    <t>Kiln Black</t>
  </si>
  <si>
    <t>Roasted Barley</t>
  </si>
  <si>
    <t>Black Barley</t>
  </si>
  <si>
    <t>Roasted Wheat</t>
  </si>
  <si>
    <t>Chocolate Wheat</t>
  </si>
  <si>
    <t>Dark Wheat</t>
  </si>
  <si>
    <t>Crystal Wheat</t>
  </si>
  <si>
    <t>Carawheat</t>
  </si>
  <si>
    <t>Caramel Wheat</t>
  </si>
  <si>
    <t>Roasted Rye</t>
  </si>
  <si>
    <t>Rye Malt</t>
  </si>
  <si>
    <t>Caramel Rye Malt</t>
  </si>
  <si>
    <t>Oat Malt</t>
  </si>
  <si>
    <t>Acidulated Malt</t>
  </si>
  <si>
    <t>Acid Malt</t>
  </si>
  <si>
    <t>Peated Malt</t>
  </si>
  <si>
    <t>Smoked Malt</t>
  </si>
  <si>
    <t>Total</t>
  </si>
  <si>
    <t>Dry</t>
  </si>
  <si>
    <t>HOUBLONS</t>
  </si>
  <si>
    <t>Start</t>
  </si>
  <si>
    <t>Mid</t>
  </si>
  <si>
    <t>End</t>
  </si>
  <si>
    <t>Start après…</t>
  </si>
  <si>
    <t>Mid après...</t>
  </si>
  <si>
    <t>End après…</t>
  </si>
  <si>
    <t>Tol. Alcool</t>
  </si>
  <si>
    <t>Extait</t>
  </si>
  <si>
    <t>Taux alpha actuel en %</t>
  </si>
  <si>
    <t>Ahtanum</t>
  </si>
  <si>
    <t>Amarillo</t>
  </si>
  <si>
    <t>Brewers gold</t>
  </si>
  <si>
    <t>Cascade</t>
  </si>
  <si>
    <t>Cascade Suisse</t>
  </si>
  <si>
    <t>Cascade Suisse Bio</t>
  </si>
  <si>
    <t>Challenger</t>
  </si>
  <si>
    <t>Chinook</t>
  </si>
  <si>
    <t>Centennial</t>
  </si>
  <si>
    <t>Citra</t>
  </si>
  <si>
    <t>Columbus</t>
  </si>
  <si>
    <t>Crystal</t>
  </si>
  <si>
    <t>East Kent Goldings</t>
  </si>
  <si>
    <t>Fuggles</t>
  </si>
  <si>
    <t>Galaxy</t>
  </si>
  <si>
    <t>Hallertau/mittelfruh</t>
  </si>
  <si>
    <t>Hall. Cascade Bio</t>
  </si>
  <si>
    <t>Hallertau Blanc</t>
  </si>
  <si>
    <t>Hallertau Hersbrucker</t>
  </si>
  <si>
    <t>Hallertau Nugget</t>
  </si>
  <si>
    <t>Hallertau Perle</t>
  </si>
  <si>
    <t>Hallertau tradition</t>
  </si>
  <si>
    <t>Hercule</t>
  </si>
  <si>
    <t>Liberty</t>
  </si>
  <si>
    <t>Magnum</t>
  </si>
  <si>
    <t>Mandarina Bavaria</t>
  </si>
  <si>
    <t>Mandarina Bavaria Suisse</t>
  </si>
  <si>
    <t>Melon</t>
  </si>
  <si>
    <t>Mosaic</t>
  </si>
  <si>
    <t>Nelson Sauvin</t>
  </si>
  <si>
    <t>Nelson Sauvin Bio</t>
  </si>
  <si>
    <t>Northern brewer</t>
  </si>
  <si>
    <t>Polaris</t>
  </si>
  <si>
    <t>Saaz</t>
  </si>
  <si>
    <t>Safir</t>
  </si>
  <si>
    <t>Sorachi ace</t>
  </si>
  <si>
    <t>Simcoe</t>
  </si>
  <si>
    <t>Spalt select</t>
  </si>
  <si>
    <t>Suisse bio pearl</t>
  </si>
  <si>
    <t>Summit</t>
  </si>
  <si>
    <t>Styrian goldings</t>
  </si>
  <si>
    <t>Target</t>
  </si>
  <si>
    <t>Tettnanger</t>
  </si>
  <si>
    <t>Tomahawk</t>
  </si>
  <si>
    <t>Willamette</t>
  </si>
  <si>
    <t>Autres Ajouts</t>
  </si>
  <si>
    <t>Fermentation</t>
  </si>
  <si>
    <t>Ingrédient</t>
  </si>
  <si>
    <t>Quantité</t>
  </si>
  <si>
    <t>P° à 20%</t>
  </si>
  <si>
    <t>Densité à 20°</t>
  </si>
  <si>
    <t xml:space="preserve">Brassage: </t>
  </si>
  <si>
    <t>Embouteillage:</t>
  </si>
  <si>
    <t>Notes:</t>
  </si>
  <si>
    <t>PRIMING SUGAR</t>
  </si>
  <si>
    <t>British Style Ales</t>
  </si>
  <si>
    <t>Belgian Ales</t>
  </si>
  <si>
    <t>American Ales and Lager</t>
  </si>
  <si>
    <t>Fruit Lambic</t>
  </si>
  <si>
    <t>Porter, Stout</t>
  </si>
  <si>
    <t>European Lagers</t>
  </si>
  <si>
    <t>Lambic</t>
  </si>
  <si>
    <t>German Wheat Beer</t>
  </si>
  <si>
    <t>Garde</t>
  </si>
  <si>
    <t>IBU-DI RATIO</t>
  </si>
  <si>
    <t>IPA</t>
  </si>
  <si>
    <t>Classique</t>
  </si>
  <si>
    <t>à 75°-78°</t>
  </si>
  <si>
    <t>Bag</t>
  </si>
  <si>
    <t>kg.</t>
  </si>
  <si>
    <t>g</t>
  </si>
  <si>
    <t>Conversion depuis:</t>
  </si>
  <si>
    <t>Cold Crash</t>
  </si>
  <si>
    <t>Gueuze</t>
  </si>
  <si>
    <t>Doppelbock</t>
  </si>
  <si>
    <t>American Lager</t>
  </si>
  <si>
    <t>Strong Scotch Ale</t>
  </si>
  <si>
    <t>Belgian Dubberl</t>
  </si>
  <si>
    <t>Witbier</t>
  </si>
  <si>
    <t>Traditional Rock</t>
  </si>
  <si>
    <t>Belgian Trippel</t>
  </si>
  <si>
    <t>Irish Red Ale</t>
  </si>
  <si>
    <t>American Wheat</t>
  </si>
  <si>
    <t>Blonde Ale</t>
  </si>
  <si>
    <t>Rauch</t>
  </si>
  <si>
    <t>Saison</t>
  </si>
  <si>
    <t>Brown Porter</t>
  </si>
  <si>
    <t>American Amber Ale</t>
  </si>
  <si>
    <t>American Pale Ale</t>
  </si>
  <si>
    <t>California Common</t>
  </si>
  <si>
    <t>ESB</t>
  </si>
  <si>
    <t>German Pilsner</t>
  </si>
  <si>
    <t>English IPA</t>
  </si>
  <si>
    <t>Standard Bitter</t>
  </si>
  <si>
    <t>American IPA</t>
  </si>
  <si>
    <t>Barleywine</t>
  </si>
  <si>
    <t>Dry Stout</t>
  </si>
  <si>
    <t>American Stout</t>
  </si>
  <si>
    <t>Imperial IPA</t>
  </si>
  <si>
    <t>BJCP Style Name</t>
  </si>
  <si>
    <t>BJCP Family Name</t>
  </si>
  <si>
    <t>Balance: Balanced</t>
  </si>
  <si>
    <t>Balance: Malty</t>
  </si>
  <si>
    <t>Balance: Not Listed</t>
  </si>
  <si>
    <t>Balance: Bitter</t>
  </si>
  <si>
    <t>Minimum SRM</t>
  </si>
  <si>
    <t>Maximum SRM</t>
  </si>
  <si>
    <t>Minimum ABV</t>
  </si>
  <si>
    <t>Maximum ABV</t>
  </si>
  <si>
    <t>Minimum OG</t>
  </si>
  <si>
    <t>Maximum OG</t>
  </si>
  <si>
    <t>Minimum FG</t>
  </si>
  <si>
    <t>Maximum FG</t>
  </si>
  <si>
    <t>Minimum IBU</t>
  </si>
  <si>
    <t>Maximum IBU</t>
  </si>
  <si>
    <t>Average SRM</t>
  </si>
  <si>
    <t>Average ABV</t>
  </si>
  <si>
    <t>Average OG</t>
  </si>
  <si>
    <t>Average FG</t>
  </si>
  <si>
    <t>Average IBU</t>
  </si>
  <si>
    <t>IBU To OG Ratio for Average IBU and OG</t>
  </si>
  <si>
    <t>01a. American Light Lager</t>
  </si>
  <si>
    <t>Standard American Beer</t>
  </si>
  <si>
    <t>01b. American Lager</t>
  </si>
  <si>
    <t>01c. Cream Ale</t>
  </si>
  <si>
    <t>01d. American Wheat Beer</t>
  </si>
  <si>
    <t>02a. International Pale Lager</t>
  </si>
  <si>
    <t>International Lager</t>
  </si>
  <si>
    <t>02b. International Amber Lager</t>
  </si>
  <si>
    <t>02c. International Dark Lager</t>
  </si>
  <si>
    <t>03a. Czech Pale Lager</t>
  </si>
  <si>
    <t>Czech Lager</t>
  </si>
  <si>
    <t>03b. Czech Premium Pale Lager</t>
  </si>
  <si>
    <t>03c. Czech Amber Lager</t>
  </si>
  <si>
    <t>03d. Czech Dark Lager</t>
  </si>
  <si>
    <t>04a. Munich Helles</t>
  </si>
  <si>
    <t>Pale Malty European Lager</t>
  </si>
  <si>
    <t>04b. Helles Bock</t>
  </si>
  <si>
    <t>04c. Festbier</t>
  </si>
  <si>
    <t>05a. German Leichtbier</t>
  </si>
  <si>
    <t>Pale Bitter European Beer</t>
  </si>
  <si>
    <t>05b. Kolsch</t>
  </si>
  <si>
    <t>05c. German Helles Exportbier</t>
  </si>
  <si>
    <t>05d. German Pils</t>
  </si>
  <si>
    <t>06a. Marzen</t>
  </si>
  <si>
    <t>Amber Malty European Lager</t>
  </si>
  <si>
    <t>06b. Rauchbier</t>
  </si>
  <si>
    <t>06c. Dunkles Bock</t>
  </si>
  <si>
    <t>07a. Vienna Lager</t>
  </si>
  <si>
    <t>Amber Bitter European Beer</t>
  </si>
  <si>
    <t>07b. Altbier</t>
  </si>
  <si>
    <t>07c. Kellerbier, amber</t>
  </si>
  <si>
    <t>07c. Kellerbier, pale</t>
  </si>
  <si>
    <t>08a. Munich Dunkel</t>
  </si>
  <si>
    <t>Dark European Lager</t>
  </si>
  <si>
    <t>08b. Schwarzbier</t>
  </si>
  <si>
    <t>09a. Doppelbock</t>
  </si>
  <si>
    <t>Strong European Beer</t>
  </si>
  <si>
    <t>09b. Eisbock</t>
  </si>
  <si>
    <t>09c. Baltic Porter</t>
  </si>
  <si>
    <t>10a. Weissbier</t>
  </si>
  <si>
    <t>10b. Dunkles Weissbier</t>
  </si>
  <si>
    <t>10c. Weizenbock</t>
  </si>
  <si>
    <t>11a. Ordinary Bitter</t>
  </si>
  <si>
    <t>British Bitter</t>
  </si>
  <si>
    <t>11b. Best Bitter</t>
  </si>
  <si>
    <t>11c. Strong Bitter</t>
  </si>
  <si>
    <t>12a. British Golden Ale</t>
  </si>
  <si>
    <t>Pale Commonwealth Beer</t>
  </si>
  <si>
    <t>12b. Australian Sparkling Ale</t>
  </si>
  <si>
    <t>12c. English IPA</t>
  </si>
  <si>
    <t>13a. Dark Mild</t>
  </si>
  <si>
    <t>Brown British Beer</t>
  </si>
  <si>
    <t>13b. British Brown Ale</t>
  </si>
  <si>
    <t>13c. English Porter</t>
  </si>
  <si>
    <t>14a. Scottish Light</t>
  </si>
  <si>
    <t>Scottish Ale</t>
  </si>
  <si>
    <t>14b. Scottish Heavy</t>
  </si>
  <si>
    <t>14c. Scottish Export</t>
  </si>
  <si>
    <t>15a. Irish Red Ale</t>
  </si>
  <si>
    <t>Irish Beer</t>
  </si>
  <si>
    <t>15b. Irish Stout</t>
  </si>
  <si>
    <t>15c. Irish Extra Stout</t>
  </si>
  <si>
    <t>16a. Sweet Stout</t>
  </si>
  <si>
    <t>Dark British Beer</t>
  </si>
  <si>
    <t>16b. Oatmeal Stout</t>
  </si>
  <si>
    <t>16c. Tropical Stout</t>
  </si>
  <si>
    <t>16d. Foreign Extra Stout</t>
  </si>
  <si>
    <t>17a. British Strong Ale</t>
  </si>
  <si>
    <t>Strong British Ale</t>
  </si>
  <si>
    <t>17b. Old Ale</t>
  </si>
  <si>
    <t>17c. Wee Heavy</t>
  </si>
  <si>
    <t>17d. English Barleywine</t>
  </si>
  <si>
    <t>18a. Blonde Ale</t>
  </si>
  <si>
    <t>Pale American Ale</t>
  </si>
  <si>
    <t>18b. American Pale Ale</t>
  </si>
  <si>
    <t>19a. American Amber Ale</t>
  </si>
  <si>
    <t>Amber and Brown American Beer</t>
  </si>
  <si>
    <t>19b. California Common</t>
  </si>
  <si>
    <t>19c. American Brown Ale</t>
  </si>
  <si>
    <t>20a. American Porter</t>
  </si>
  <si>
    <t>American Porter and Stout</t>
  </si>
  <si>
    <t>20b. American Stout</t>
  </si>
  <si>
    <t>20c. Imperial Stout</t>
  </si>
  <si>
    <t>21a. American IPA</t>
  </si>
  <si>
    <t>21b. Belgian IPA</t>
  </si>
  <si>
    <t>21b. Black IPA</t>
  </si>
  <si>
    <t>21b. Brown IPA</t>
  </si>
  <si>
    <t>21b. Red IPA</t>
  </si>
  <si>
    <t>21b. Rye IPA</t>
  </si>
  <si>
    <t>21b. White IPA</t>
  </si>
  <si>
    <t>22a. Double IPA</t>
  </si>
  <si>
    <t>Strong American Ale</t>
  </si>
  <si>
    <t>22b. American Strong Ale</t>
  </si>
  <si>
    <t>22c. American Barleywine</t>
  </si>
  <si>
    <t>22d. Wheatwine</t>
  </si>
  <si>
    <t>23a. Berliner Weisse</t>
  </si>
  <si>
    <t>European Sour Ale</t>
  </si>
  <si>
    <t>23b. Flanders Red Ale</t>
  </si>
  <si>
    <t>23c. Oud Bruin</t>
  </si>
  <si>
    <t>24a. Witbier</t>
  </si>
  <si>
    <t>Belgian Ale</t>
  </si>
  <si>
    <t>24b. Belgian Pale Ale</t>
  </si>
  <si>
    <t>24c. Biere de Garde</t>
  </si>
  <si>
    <t>24d. Lambic</t>
  </si>
  <si>
    <t>24e. Gueuze</t>
  </si>
  <si>
    <t>24f. Fruit Lambic</t>
  </si>
  <si>
    <t>25a. Belgian Blond Ale</t>
  </si>
  <si>
    <t>Strong Belgian Ale</t>
  </si>
  <si>
    <t>25b. Saison</t>
  </si>
  <si>
    <t>25c. Belgian Golden Strong Ale</t>
  </si>
  <si>
    <t>26a. Trappist Single</t>
  </si>
  <si>
    <t>Trappist Ale</t>
  </si>
  <si>
    <t>26b. Belgian Dubbel</t>
  </si>
  <si>
    <t>26c. Belgian Trippel</t>
  </si>
  <si>
    <t>26d. Belgian Dark Strong Ale</t>
  </si>
  <si>
    <t>27. Gose</t>
  </si>
  <si>
    <t>Historical Beer</t>
  </si>
  <si>
    <t>27. Kentucky Common</t>
  </si>
  <si>
    <t>27. Lichtenhainer</t>
  </si>
  <si>
    <t>27. London Brown Ale</t>
  </si>
  <si>
    <t>27. Piwo Grodziskie</t>
  </si>
  <si>
    <t>27. Pre-Prohibition Lager</t>
  </si>
  <si>
    <t>27. Pre-Prohibition Porter</t>
  </si>
  <si>
    <t>27. Roggenbier</t>
  </si>
  <si>
    <t>27. Sahti</t>
  </si>
  <si>
    <t>Minimum EBC</t>
  </si>
  <si>
    <t>Maximum EBC</t>
  </si>
  <si>
    <t>Average EBC</t>
  </si>
  <si>
    <t>Hop Name</t>
  </si>
  <si>
    <t>Hop Alpha Acid %</t>
  </si>
  <si>
    <t>Common Beer Styles</t>
  </si>
  <si>
    <t>Possible Hop Substitutions</t>
  </si>
  <si>
    <t>Hop Characteristics</t>
  </si>
  <si>
    <t>Admiral (U.K.)</t>
  </si>
  <si>
    <t>13.5% to 16%</t>
  </si>
  <si>
    <t>U.K. Target, U.K. Northdown, U.K. Challenger</t>
  </si>
  <si>
    <t>Known for its bittering potential.</t>
  </si>
  <si>
    <t>4% to 6.3%</t>
  </si>
  <si>
    <t>-</t>
  </si>
  <si>
    <t>Floral, citrus, sharp, and piney.</t>
  </si>
  <si>
    <t>8% to 9%</t>
  </si>
  <si>
    <t>Ale, IPA</t>
  </si>
  <si>
    <t>Cascade, Centennial</t>
  </si>
  <si>
    <t>Citrusy, flowery.</t>
  </si>
  <si>
    <t>Bramling Cross (U.K.)</t>
  </si>
  <si>
    <t>5% to 7%</t>
  </si>
  <si>
    <t>ESB, bitter, pale ale</t>
  </si>
  <si>
    <t>U.K. Kent Golding, U.K. Progress, Whitbread Golding Variety</t>
  </si>
  <si>
    <t>Quite mild, fruity currant aroma.</t>
  </si>
  <si>
    <t>Brewer's Gold</t>
  </si>
  <si>
    <t>7% to 8.5%</t>
  </si>
  <si>
    <t>English ale</t>
  </si>
  <si>
    <t>Bullion</t>
  </si>
  <si>
    <t>Bittering hop with neutral aroma character.</t>
  </si>
  <si>
    <t>Brewer's Gold (German)</t>
  </si>
  <si>
    <t>6% to 7%</t>
  </si>
  <si>
    <t>Ale, heavier German-style lagers</t>
  </si>
  <si>
    <t>Northdown, Northern Brewer, Galena, Bullion</t>
  </si>
  <si>
    <t>Black currant, fruity, spicy.</t>
  </si>
  <si>
    <t>6.5% to 9%</t>
  </si>
  <si>
    <t>IPA, ESB, stout</t>
  </si>
  <si>
    <t>Columbus, Northern Brewer, German Brewer's Gold</t>
  </si>
  <si>
    <t>A rich hop primarily used for bittering. Intense blackcurrant aroma.</t>
  </si>
  <si>
    <t>4.5% to 7%</t>
  </si>
  <si>
    <t>Pale ale, IPA, porter, barleywine</t>
  </si>
  <si>
    <t>Centennial, Amarillo, possibly Columbus</t>
  </si>
  <si>
    <t>Pleasant, flowery, spicy, and citrusy. Can have a grapefruit flavor.</t>
  </si>
  <si>
    <t>8% to 11.5%</t>
  </si>
  <si>
    <t>All ale styles, has been used with wheat beer</t>
  </si>
  <si>
    <t>Cascade, possibly Columbus</t>
  </si>
  <si>
    <t>Medium with floral and citrus tones.</t>
  </si>
  <si>
    <t>Challenger (U.K.)</t>
  </si>
  <si>
    <t>6.5% to 8.5%</t>
  </si>
  <si>
    <t>English-style ales, porter, stout, ESB, bitter</t>
  </si>
  <si>
    <t>U.S. or German Perle, Northern Brewer</t>
  </si>
  <si>
    <t>Mild to moderate, quite spicy.</t>
  </si>
  <si>
    <t>10% to 14%</t>
  </si>
  <si>
    <t>Pale ale, IPA, stout, porter, lager</t>
  </si>
  <si>
    <t>Nugget, Columbus, Northern Brewer, U.K. Target</t>
  </si>
  <si>
    <t>Mild to medium-heavy, spicy, piney, and grapefruity.</t>
  </si>
  <si>
    <t>Cluster</t>
  </si>
  <si>
    <t>5.5% to 8.5%</t>
  </si>
  <si>
    <t>Ale and lager (good aroma for ale, good bittering for lager)</t>
  </si>
  <si>
    <t>Galena</t>
  </si>
  <si>
    <t>Medium and quite spicy.</t>
  </si>
  <si>
    <t>11% to 16%</t>
  </si>
  <si>
    <t>IPA, pale ale, stout</t>
  </si>
  <si>
    <t>Nugget, Chinook, U.K. Target, Northern Brewer</t>
  </si>
  <si>
    <t>Pleasant, with pungent aroma.</t>
  </si>
  <si>
    <t>2% to 4.5%</t>
  </si>
  <si>
    <t>Lager, pilsner, ESB</t>
  </si>
  <si>
    <t>Mt. Hood, Hersbrucker, French Strisslespalt, Liberty, Hallertauer</t>
  </si>
  <si>
    <t>Mild and pleasant, spicy and flowery.</t>
  </si>
  <si>
    <t>Eroica</t>
  </si>
  <si>
    <t>9% to 12%</t>
  </si>
  <si>
    <t>Galena, Nugget, Chinook</t>
  </si>
  <si>
    <t>Strong but pleasant aroma.</t>
  </si>
  <si>
    <t>First Gold (U.K.)</t>
  </si>
  <si>
    <t>Ale, ESB</t>
  </si>
  <si>
    <t>U.K. Kent Golding, maybe Crystal</t>
  </si>
  <si>
    <t>A little like Golding family; spicy.</t>
  </si>
  <si>
    <t>Fuggle (U.S.)</t>
  </si>
  <si>
    <t>4% to 5.5%</t>
  </si>
  <si>
    <t>Any English-style beer or American ale</t>
  </si>
  <si>
    <t>U.K. Fuggle, Willamette, Styrian Golding, U.S. Tettnanger</t>
  </si>
  <si>
    <t>Mild and pleasant, earthy and fruity.</t>
  </si>
  <si>
    <t>Fuggle (U.K.)</t>
  </si>
  <si>
    <t>All English-style ales, ESB, bitter, lager</t>
  </si>
  <si>
    <t>U.S. Fuggle, Willamette, Styrian Golding</t>
  </si>
  <si>
    <t>Mild, pleasant, hoppy, and robust.</t>
  </si>
  <si>
    <t>Ale, porter, stout, ESB, bitter</t>
  </si>
  <si>
    <t>Nugget, Pride of Ringwood, Chinook</t>
  </si>
  <si>
    <t>Medium but pleasant hoppiness, citrusy.</t>
  </si>
  <si>
    <t>Golding (U.S.)</t>
  </si>
  <si>
    <t>4% to 6%</t>
  </si>
  <si>
    <t>Pale ale, ESB, all English-style beer</t>
  </si>
  <si>
    <t>U.K. Golding, Whitbread Golding Variety, U.K. Progress, and possibly the Fuggle family</t>
  </si>
  <si>
    <t>Mild, extremely pleasant, and gently hoppy.</t>
  </si>
  <si>
    <t>Hallertauer (U.S.)</t>
  </si>
  <si>
    <t>3.5% to 5.5%</t>
  </si>
  <si>
    <t>Lager, pilsner, bock, wheat</t>
  </si>
  <si>
    <t>Liberty, Ultra, Hallertauer Tradition</t>
  </si>
  <si>
    <t>Very mild, pleasant, and slightly flowery, some spicy.</t>
  </si>
  <si>
    <t>Hallertauer Gold</t>
  </si>
  <si>
    <t>6% to 6.5%</t>
  </si>
  <si>
    <t>Crystal, Mt. Hood</t>
  </si>
  <si>
    <t>Known for its aromatic properties similar to Hallertauer.</t>
  </si>
  <si>
    <t>Hallertauer Mittelfrüh</t>
  </si>
  <si>
    <t>3% to 5.5%</t>
  </si>
  <si>
    <t>Lager, bock, wheat, maybe pilsner</t>
  </si>
  <si>
    <t>Liberty, German Tradition, Ultra</t>
  </si>
  <si>
    <t>Mild and pleasant.</t>
  </si>
  <si>
    <t>Hallertauer Tradition (Ger.)</t>
  </si>
  <si>
    <t>Mild-flavored beers</t>
  </si>
  <si>
    <t>Crystal, Liberty</t>
  </si>
  <si>
    <t>Known for its aromatic properties. A replacement for Hallertauer Mittelfrüh.</t>
  </si>
  <si>
    <t>Hallertau Hersbrucker (German)</t>
  </si>
  <si>
    <t>Mt. Hood, French Strisslespalt</t>
  </si>
  <si>
    <t>Mild to semi-strong, pleasant, hoppy.</t>
  </si>
  <si>
    <t>Horizon</t>
  </si>
  <si>
    <t>11% to 14%</t>
  </si>
  <si>
    <t>Ale, lager</t>
  </si>
  <si>
    <t>Magnum or a high-alpha hop</t>
  </si>
  <si>
    <t>Pleasantly hoppy.</t>
  </si>
  <si>
    <t>Kent Golding (U.K.)</t>
  </si>
  <si>
    <t>All English-style ales, ESB, bitter</t>
  </si>
  <si>
    <t>U.S. Golding, Whitbread Golding Variety, U.K. Progress</t>
  </si>
  <si>
    <t>Gentle, fragrant, and pleasant.</t>
  </si>
  <si>
    <t>3% to 6%</t>
  </si>
  <si>
    <t>Hallertauer Tradition, Hallertauer, Mt. Hood</t>
  </si>
  <si>
    <t>Mild and clean aroma, slightly spicy character.</t>
  </si>
  <si>
    <t>13% to 15%</t>
  </si>
  <si>
    <t>All beers, particularly lager, pilsner, stout</t>
  </si>
  <si>
    <t>Northern Brewer</t>
  </si>
  <si>
    <t>Known for bittering value and quality.</t>
  </si>
  <si>
    <t>Mt. Hood</t>
  </si>
  <si>
    <t>3% to 8%</t>
  </si>
  <si>
    <t>Crystal, French Strisslespalt, Hersbrucker</t>
  </si>
  <si>
    <t>Mild, pleasant, and clean, somewhat pungent and resiny.</t>
  </si>
  <si>
    <t>Northdown (U.K.)</t>
  </si>
  <si>
    <t>7.5% to 9.5%</t>
  </si>
  <si>
    <t>All ales, porter</t>
  </si>
  <si>
    <t>Fruity with some spiciness.</t>
  </si>
  <si>
    <t>Northern Brewer (U.S.)</t>
  </si>
  <si>
    <t>6% to 10%</t>
  </si>
  <si>
    <t>ESB, bitter, English pale ale, porter, California (steam) beer</t>
  </si>
  <si>
    <t>Nugget, Chinook</t>
  </si>
  <si>
    <t>Medium-strong with some wild tones.</t>
  </si>
  <si>
    <t>Northern Brewer (German)</t>
  </si>
  <si>
    <t>7% to 10%</t>
  </si>
  <si>
    <t>ESB, bitter, English pale ale, porter</t>
  </si>
  <si>
    <t>Chinook, U.S. Northern Brewer</t>
  </si>
  <si>
    <t>Northwest Golding</t>
  </si>
  <si>
    <t>4% to 5%</t>
  </si>
  <si>
    <t>Known for aromatic properties.</t>
  </si>
  <si>
    <t>Nugget</t>
  </si>
  <si>
    <t>11% to 14.5%</t>
  </si>
  <si>
    <t>Light lager</t>
  </si>
  <si>
    <t>Columbus, Chinook, U.K. Target, Galena</t>
  </si>
  <si>
    <t>Quite heavy and herbal.</t>
  </si>
  <si>
    <t>Olympic</t>
  </si>
  <si>
    <t>11% to 13%</t>
  </si>
  <si>
    <t>Mild to medium, citrusy aroma, spicy.</t>
  </si>
  <si>
    <t>Perle (U.S.)</t>
  </si>
  <si>
    <t>6% to 9.5%</t>
  </si>
  <si>
    <t>Pale ale, porter, German styles</t>
  </si>
  <si>
    <t>Northern Brewer, Cluster, Galena, Chinook</t>
  </si>
  <si>
    <t>Known for its aromatic and bittering properties, pleasant and slightly spicy.</t>
  </si>
  <si>
    <t>Perle (German)</t>
  </si>
  <si>
    <t>6% to 8.5%</t>
  </si>
  <si>
    <t>Pale ale, porter, lager</t>
  </si>
  <si>
    <t>U.S. Perle, Northern Brewer</t>
  </si>
  <si>
    <t>Moderately intense, good and hoppy, fruity and a little spicy.</t>
  </si>
  <si>
    <t>Phoenix (U.K.)</t>
  </si>
  <si>
    <t>4.2% to 5.5%</t>
  </si>
  <si>
    <t>All ales</t>
  </si>
  <si>
    <t>U.K. Northdown, U.K. Kent Golding, U.K. Challenger</t>
  </si>
  <si>
    <t>Similar to U.K. Challenger.</t>
  </si>
  <si>
    <t>Pioneer (U.K.)</t>
  </si>
  <si>
    <t>8% to 10%</t>
  </si>
  <si>
    <t>U.K. Kent Golding</t>
  </si>
  <si>
    <t>A mild, typical English aroma.</t>
  </si>
  <si>
    <t>Polish Lublin</t>
  </si>
  <si>
    <t>3% to 4.5%</t>
  </si>
  <si>
    <t>Pilsner</t>
  </si>
  <si>
    <t>U.S. Saaz, Czech Saaz, U.S. Tettnanger</t>
  </si>
  <si>
    <t>Mild and typical of noble aroma types, spicy, herbal.</t>
  </si>
  <si>
    <t>Pride of Ringwood (Australia)</t>
  </si>
  <si>
    <t>Australian lager</t>
  </si>
  <si>
    <t>Galena, Cluster</t>
  </si>
  <si>
    <t>Quite pronounced, woody, earthy, herbal.</t>
  </si>
  <si>
    <t>Progress (U.K.)</t>
  </si>
  <si>
    <t>5% to 7.5%</t>
  </si>
  <si>
    <t>Ale, bitter, ESB, porter</t>
  </si>
  <si>
    <t>U.K. Kent Golding, Fuggle</t>
  </si>
  <si>
    <t>Moderately strong, good aroma.</t>
  </si>
  <si>
    <t>Saaz (Czech)</t>
  </si>
  <si>
    <t>U.S. Saaz, Polish Lublin</t>
  </si>
  <si>
    <t>Very mild with pleasant hoppy notes, earthy, spicy, and herbal.</t>
  </si>
  <si>
    <t>Saaz (U.S.)</t>
  </si>
  <si>
    <t>3% to 5%</t>
  </si>
  <si>
    <t>Pilsner, lager, wheat</t>
  </si>
  <si>
    <t>Czech Saaz, Polish Lublin</t>
  </si>
  <si>
    <t>Mild and pleasant, earthy and spicy.</t>
  </si>
  <si>
    <t>Santiam</t>
  </si>
  <si>
    <t>5% to 7.9%</t>
  </si>
  <si>
    <t>Lager, American ale, pilsner</t>
  </si>
  <si>
    <t>German Tettnanger, German Spalt, German Spalt Select</t>
  </si>
  <si>
    <t>Noble characteristics.</t>
  </si>
  <si>
    <t>Satus</t>
  </si>
  <si>
    <t>12.5% to 14%</t>
  </si>
  <si>
    <t>Known for its bittering and aromatic properties.</t>
  </si>
  <si>
    <t>12% to 14%</t>
  </si>
  <si>
    <t>A bittering and aromatic hop.</t>
  </si>
  <si>
    <t>Spalt (German)</t>
  </si>
  <si>
    <t>U.S. Saaz, U.S. Tettnanger, German Spalt Select</t>
  </si>
  <si>
    <t>Mild and pleasant, slightly spicy.</t>
  </si>
  <si>
    <t>Spalt Select (German)</t>
  </si>
  <si>
    <t>Lager, and any beer where noble aroma is wanted</t>
  </si>
  <si>
    <t>U.S. Saaz, U.S. Tettnanger, German Spalt</t>
  </si>
  <si>
    <t>Very fine Spalter-type aroma.</t>
  </si>
  <si>
    <t>Spalt Select (U.S.)</t>
  </si>
  <si>
    <t>German lagers</t>
  </si>
  <si>
    <t>Tettnanger, Saaz</t>
  </si>
  <si>
    <t>Medium intensity and pleasant hoppy qualities. Medium-strong aroma with wild American tones.</t>
  </si>
  <si>
    <t>Sterling</t>
  </si>
  <si>
    <t>6% to 9%</t>
  </si>
  <si>
    <t>Lager, ale, pilsner</t>
  </si>
  <si>
    <t>Saaz, Polish Lublin</t>
  </si>
  <si>
    <t>Herbal, spicy, pleasant aroma, hint of floral and citrus.</t>
  </si>
  <si>
    <t>Strisslespalt (France)</t>
  </si>
  <si>
    <t>Mt. Hood, Crystal, Hersbrucker</t>
  </si>
  <si>
    <t>Medium intensity, pleasant, hoppy.</t>
  </si>
  <si>
    <t>Styrian Golding (Slovenia)</t>
  </si>
  <si>
    <t>4.5% to 6%</t>
  </si>
  <si>
    <t>U.S. Fuggle, U.K. Fuggle, Willamette</t>
  </si>
  <si>
    <t>Delicate, slightly spicy.</t>
  </si>
  <si>
    <t>17.5% to 19.5%</t>
  </si>
  <si>
    <t>IPAs, Imperial IPAs</t>
  </si>
  <si>
    <t>Orange, tangerine, citrus notes.</t>
  </si>
  <si>
    <t>Target (U.K.)</t>
  </si>
  <si>
    <t>9.5% to 12.5%</t>
  </si>
  <si>
    <t>All ale and lager</t>
  </si>
  <si>
    <t>Fuggle, Willamette</t>
  </si>
  <si>
    <t>Pleasant English hop aroma, quite intense.</t>
  </si>
  <si>
    <t>Tettnanger (U.S.)</t>
  </si>
  <si>
    <t>3.4% to 5.2%</t>
  </si>
  <si>
    <t>German ales and lagers, American lagers, wheat</t>
  </si>
  <si>
    <t>German Spalt, Czech Saaz Santiam</t>
  </si>
  <si>
    <t>An aromatic hop, mild and slightly spicy.</t>
  </si>
  <si>
    <t>Tettnanger (German)</t>
  </si>
  <si>
    <t>Lager, ale</t>
  </si>
  <si>
    <t>German Spalt, German Spalt Select, U.S. Tettnanger, Saaz</t>
  </si>
  <si>
    <t>Mild and pleasant, slightly spicy, herbal.</t>
  </si>
  <si>
    <t>15% to 17%</t>
  </si>
  <si>
    <t>Primarily a bittering hop.</t>
  </si>
  <si>
    <t>Tradition (German)</t>
  </si>
  <si>
    <t>Lager, pilsner</t>
  </si>
  <si>
    <t>Hersbrucker, Hallertauer Mittelfrüh</t>
  </si>
  <si>
    <t>Very fine and similar to Hallertauer Mittelfrüh.</t>
  </si>
  <si>
    <t>Ultra</t>
  </si>
  <si>
    <t>2% to 4.1%</t>
  </si>
  <si>
    <t>Lager, pilsner, wheat, finish hop in ales</t>
  </si>
  <si>
    <t>Liberty, Hallertauer Tradition, Saaz</t>
  </si>
  <si>
    <t>Very good to outstanding, some Saaz-like qualities. Aromatic properties similar to Hallertauer.</t>
  </si>
  <si>
    <t>Vanguard</t>
  </si>
  <si>
    <t>4% to 5.67%</t>
  </si>
  <si>
    <t>Saaz, Hallertauer Mittelfrüh</t>
  </si>
  <si>
    <t>Aroma similar to continental European types.</t>
  </si>
  <si>
    <t>Warrior</t>
  </si>
  <si>
    <t>Ale, stout</t>
  </si>
  <si>
    <t>WGV (Whitbread Golding Variety) (U.K.)</t>
  </si>
  <si>
    <t>U.K. Kent Golding, U.K. Progress</t>
  </si>
  <si>
    <t>Quite pleasant and hoppy, moderately intense.</t>
  </si>
  <si>
    <t>3.5% to 6%</t>
  </si>
  <si>
    <t>Pale ale, ESB, bitter, English-style ale, porter, stout</t>
  </si>
  <si>
    <t>U.S. Fuggle, U.S. Tettnanger, Styrian Golding</t>
  </si>
  <si>
    <t>Mild and pleasant, slightly spicy, fruity, floral, a little earthy.</t>
  </si>
  <si>
    <t>Yakima Cluster</t>
  </si>
  <si>
    <t>Used as a kettle hop for bittering.</t>
  </si>
  <si>
    <t>Zeus</t>
  </si>
  <si>
    <t>13% to 17%</t>
  </si>
  <si>
    <t>Aromatic and pleasant.</t>
  </si>
  <si>
    <t>Ca+2</t>
  </si>
  <si>
    <t>Mg+2</t>
  </si>
  <si>
    <t>Magnesium</t>
  </si>
  <si>
    <t>Calcium</t>
  </si>
  <si>
    <t>Na+</t>
  </si>
  <si>
    <t>Sodium</t>
  </si>
  <si>
    <t>Bicarbonate</t>
  </si>
  <si>
    <t>SO4-2</t>
  </si>
  <si>
    <t>Sulfate</t>
  </si>
  <si>
    <t xml:space="preserve">Chloride </t>
  </si>
  <si>
    <t>Cl-</t>
  </si>
  <si>
    <t>HCO3-</t>
  </si>
  <si>
    <t>(50-150)</t>
  </si>
  <si>
    <t>(10-40)</t>
  </si>
  <si>
    <t>(0-150)</t>
  </si>
  <si>
    <t>(50-250)</t>
  </si>
  <si>
    <t>(0-250)</t>
  </si>
  <si>
    <t>Eau de base</t>
  </si>
  <si>
    <t>Eau distillée</t>
  </si>
  <si>
    <t>Gypse</t>
  </si>
  <si>
    <t>Sel</t>
  </si>
  <si>
    <t>Sel d'Epsom</t>
  </si>
  <si>
    <t>Chloride de Calcium</t>
  </si>
  <si>
    <t>Bicarbonate de Soude</t>
  </si>
  <si>
    <t>Craie</t>
  </si>
  <si>
    <t>Trop malté</t>
  </si>
  <si>
    <t>Très malté</t>
  </si>
  <si>
    <t>Malté</t>
  </si>
  <si>
    <t>Equilibré</t>
  </si>
  <si>
    <t>Légèrement amer</t>
  </si>
  <si>
    <t>Très amer</t>
  </si>
  <si>
    <t>Trop amer</t>
  </si>
  <si>
    <t>Amer</t>
  </si>
  <si>
    <t>STYLE LIST</t>
    <phoneticPr fontId="3" type="noConversion"/>
  </si>
  <si>
    <t>EBC-</t>
  </si>
  <si>
    <t>EBC+</t>
  </si>
  <si>
    <t>Ca</t>
    <phoneticPr fontId="3" type="noConversion"/>
  </si>
  <si>
    <t>Ca-</t>
    <phoneticPr fontId="3" type="noConversion"/>
  </si>
  <si>
    <t>Ca+</t>
    <phoneticPr fontId="3" type="noConversion"/>
  </si>
  <si>
    <t>Mg</t>
    <phoneticPr fontId="3" type="noConversion"/>
  </si>
  <si>
    <t>Mg-</t>
    <phoneticPr fontId="3" type="noConversion"/>
  </si>
  <si>
    <t>Mg+</t>
    <phoneticPr fontId="3" type="noConversion"/>
  </si>
  <si>
    <t>Total Alk</t>
    <phoneticPr fontId="3" type="noConversion"/>
  </si>
  <si>
    <t>Alk-</t>
    <phoneticPr fontId="3" type="noConversion"/>
  </si>
  <si>
    <t>Alk+</t>
    <phoneticPr fontId="3" type="noConversion"/>
  </si>
  <si>
    <t>SO4</t>
    <phoneticPr fontId="3" type="noConversion"/>
  </si>
  <si>
    <t>SO4-</t>
    <phoneticPr fontId="3" type="noConversion"/>
  </si>
  <si>
    <t>SO4+</t>
    <phoneticPr fontId="3" type="noConversion"/>
  </si>
  <si>
    <t>Cl</t>
    <phoneticPr fontId="3" type="noConversion"/>
  </si>
  <si>
    <t>Cl-</t>
    <phoneticPr fontId="3" type="noConversion"/>
  </si>
  <si>
    <t>Cl+</t>
    <phoneticPr fontId="3" type="noConversion"/>
  </si>
  <si>
    <t>Na</t>
  </si>
  <si>
    <t>Na-</t>
  </si>
  <si>
    <t>RA</t>
    <phoneticPr fontId="3" type="noConversion"/>
  </si>
  <si>
    <t>RA-</t>
    <phoneticPr fontId="3" type="noConversion"/>
  </si>
  <si>
    <t>RA+</t>
    <phoneticPr fontId="3" type="noConversion"/>
  </si>
  <si>
    <t>1A. Lite American Lager</t>
    <phoneticPr fontId="3" type="noConversion"/>
  </si>
  <si>
    <t>4-6</t>
  </si>
  <si>
    <t>50-60</t>
    <phoneticPr fontId="3" type="noConversion"/>
  </si>
  <si>
    <t>50</t>
    <phoneticPr fontId="3" type="noConversion"/>
  </si>
  <si>
    <t>60</t>
    <phoneticPr fontId="3" type="noConversion"/>
  </si>
  <si>
    <t>0-30</t>
    <phoneticPr fontId="3" type="noConversion"/>
  </si>
  <si>
    <t>0</t>
    <phoneticPr fontId="3" type="noConversion"/>
  </si>
  <si>
    <t>30</t>
    <phoneticPr fontId="3" type="noConversion"/>
  </si>
  <si>
    <t>0-40</t>
    <phoneticPr fontId="3" type="noConversion"/>
  </si>
  <si>
    <t>40</t>
    <phoneticPr fontId="3" type="noConversion"/>
  </si>
  <si>
    <t>0-50</t>
    <phoneticPr fontId="3" type="noConversion"/>
  </si>
  <si>
    <t>50-100</t>
    <phoneticPr fontId="3" type="noConversion"/>
  </si>
  <si>
    <t>100</t>
    <phoneticPr fontId="3" type="noConversion"/>
  </si>
  <si>
    <t>&lt;100</t>
  </si>
  <si>
    <t>(-)60-0</t>
    <phoneticPr fontId="3" type="noConversion"/>
  </si>
  <si>
    <t xml:space="preserve">1B. Standard American </t>
  </si>
  <si>
    <t>4-8</t>
  </si>
  <si>
    <t xml:space="preserve">1C. Premium American </t>
  </si>
  <si>
    <t>4-12</t>
  </si>
  <si>
    <t>50-75</t>
    <phoneticPr fontId="3" type="noConversion"/>
  </si>
  <si>
    <t>75</t>
    <phoneticPr fontId="3" type="noConversion"/>
  </si>
  <si>
    <t>50-150</t>
    <phoneticPr fontId="3" type="noConversion"/>
  </si>
  <si>
    <t>150</t>
    <phoneticPr fontId="3" type="noConversion"/>
  </si>
  <si>
    <t>1D. Munich Helles</t>
    <phoneticPr fontId="3" type="noConversion"/>
  </si>
  <si>
    <t>6-10</t>
  </si>
  <si>
    <t>1E. Dortmunder Export</t>
    <phoneticPr fontId="3" type="noConversion"/>
  </si>
  <si>
    <t>8-12</t>
  </si>
  <si>
    <t>75-150</t>
    <phoneticPr fontId="3" type="noConversion"/>
  </si>
  <si>
    <t>40-80</t>
    <phoneticPr fontId="3" type="noConversion"/>
  </si>
  <si>
    <t>80</t>
    <phoneticPr fontId="3" type="noConversion"/>
  </si>
  <si>
    <t>(-)30-30</t>
    <phoneticPr fontId="3" type="noConversion"/>
  </si>
  <si>
    <t>2A. German Pilsner (Pils)</t>
    <phoneticPr fontId="3" type="noConversion"/>
  </si>
  <si>
    <t>4-10</t>
  </si>
  <si>
    <t>2B. Bohemian Pilsener</t>
    <phoneticPr fontId="3" type="noConversion"/>
  </si>
  <si>
    <t>7-12</t>
  </si>
  <si>
    <t>2C. Classic American Pilsner</t>
  </si>
  <si>
    <t>6-12</t>
  </si>
  <si>
    <t>3A. Vienna Lager</t>
    <phoneticPr fontId="3" type="noConversion"/>
  </si>
  <si>
    <t>20-32</t>
  </si>
  <si>
    <t>40-120</t>
    <phoneticPr fontId="3" type="noConversion"/>
  </si>
  <si>
    <t>120</t>
    <phoneticPr fontId="3" type="noConversion"/>
  </si>
  <si>
    <t>0-100</t>
    <phoneticPr fontId="3" type="noConversion"/>
  </si>
  <si>
    <t>0-60</t>
    <phoneticPr fontId="3" type="noConversion"/>
  </si>
  <si>
    <t>3B. Oktoberfest/Märzen</t>
    <phoneticPr fontId="3" type="noConversion"/>
  </si>
  <si>
    <t>14-28</t>
  </si>
  <si>
    <t>4A. Dark American Lager</t>
  </si>
  <si>
    <t>28-44</t>
  </si>
  <si>
    <t>80-120</t>
    <phoneticPr fontId="3" type="noConversion"/>
  </si>
  <si>
    <t>4B. Munich Dunkel</t>
    <phoneticPr fontId="3" type="noConversion"/>
  </si>
  <si>
    <t>28-56</t>
  </si>
  <si>
    <t>4C. Schwarzbier</t>
    <phoneticPr fontId="3" type="noConversion"/>
  </si>
  <si>
    <t>34-60</t>
  </si>
  <si>
    <t>5A. Helles Bock</t>
    <phoneticPr fontId="3" type="noConversion"/>
  </si>
  <si>
    <t>12-22</t>
  </si>
  <si>
    <t>5B. Traditional Bock</t>
    <phoneticPr fontId="3" type="noConversion"/>
  </si>
  <si>
    <t>5C. Doppelbock</t>
    <phoneticPr fontId="3" type="noConversion"/>
  </si>
  <si>
    <t>12-50</t>
  </si>
  <si>
    <t>80-150</t>
    <phoneticPr fontId="3" type="noConversion"/>
  </si>
  <si>
    <t>60-120</t>
    <phoneticPr fontId="3" type="noConversion"/>
  </si>
  <si>
    <t>5D. Eisbock</t>
    <phoneticPr fontId="3" type="noConversion"/>
  </si>
  <si>
    <t>36-60</t>
  </si>
  <si>
    <t>6A. Cream Ale</t>
    <phoneticPr fontId="3" type="noConversion"/>
  </si>
  <si>
    <t>5-10</t>
  </si>
  <si>
    <t>0-80</t>
    <phoneticPr fontId="3" type="noConversion"/>
  </si>
  <si>
    <t>(-)30-0</t>
    <phoneticPr fontId="3" type="noConversion"/>
  </si>
  <si>
    <t>6B. Blonde Ale</t>
    <phoneticPr fontId="3" type="noConversion"/>
  </si>
  <si>
    <t>100-200</t>
    <phoneticPr fontId="3" type="noConversion"/>
  </si>
  <si>
    <t>200</t>
    <phoneticPr fontId="3" type="noConversion"/>
  </si>
  <si>
    <t>6C. Kölsch</t>
    <phoneticPr fontId="3" type="noConversion"/>
  </si>
  <si>
    <t>7-10</t>
  </si>
  <si>
    <t>6D. American Wheat /Rye</t>
  </si>
  <si>
    <t>7A. N. German Altbier</t>
    <phoneticPr fontId="3" type="noConversion"/>
  </si>
  <si>
    <t>26-38</t>
  </si>
  <si>
    <t>100-300</t>
    <phoneticPr fontId="3" type="noConversion"/>
  </si>
  <si>
    <t>300</t>
    <phoneticPr fontId="3" type="noConversion"/>
  </si>
  <si>
    <t>7B. California Common Beer</t>
    <phoneticPr fontId="3" type="noConversion"/>
  </si>
  <si>
    <t>20-28</t>
  </si>
  <si>
    <t>7C. Düsseldorf Altbier</t>
    <phoneticPr fontId="3" type="noConversion"/>
  </si>
  <si>
    <t>22-34</t>
  </si>
  <si>
    <t>8A. Ordinary Bitter</t>
    <phoneticPr fontId="3" type="noConversion"/>
  </si>
  <si>
    <t>2-28</t>
  </si>
  <si>
    <t>8B. Special Bitter</t>
    <phoneticPr fontId="3" type="noConversion"/>
  </si>
  <si>
    <t>10-32</t>
  </si>
  <si>
    <t xml:space="preserve">8C. Strong Bitter </t>
    <phoneticPr fontId="3" type="noConversion"/>
  </si>
  <si>
    <t>12-36</t>
  </si>
  <si>
    <t>9A. Scottish 60/-</t>
    <phoneticPr fontId="3" type="noConversion"/>
  </si>
  <si>
    <t>18-34</t>
  </si>
  <si>
    <t>9B. Scottish 70/-</t>
    <phoneticPr fontId="3" type="noConversion"/>
  </si>
  <si>
    <t>9C. Scottish  80/-</t>
    <phoneticPr fontId="3" type="noConversion"/>
  </si>
  <si>
    <t>9D. Irish Red Ale</t>
    <phoneticPr fontId="3" type="noConversion"/>
  </si>
  <si>
    <t>18-36</t>
  </si>
  <si>
    <t>9E. Strong Scotch Ale</t>
    <phoneticPr fontId="3" type="noConversion"/>
  </si>
  <si>
    <t>28-50</t>
  </si>
  <si>
    <t>10A. American Pale Ale</t>
  </si>
  <si>
    <t>10-28</t>
  </si>
  <si>
    <t>50-150</t>
  </si>
  <si>
    <t>0-30</t>
  </si>
  <si>
    <t>40-120</t>
  </si>
  <si>
    <t>100-400</t>
    <phoneticPr fontId="3" type="noConversion"/>
  </si>
  <si>
    <t>400</t>
    <phoneticPr fontId="3" type="noConversion"/>
  </si>
  <si>
    <t>10B. American Amber Ale</t>
  </si>
  <si>
    <t>20-34</t>
  </si>
  <si>
    <t>100-300</t>
  </si>
  <si>
    <t>50-100</t>
  </si>
  <si>
    <t>0-60</t>
  </si>
  <si>
    <t>10C. American Brown Ale</t>
  </si>
  <si>
    <t>36-70</t>
  </si>
  <si>
    <t>80-160</t>
    <phoneticPr fontId="3" type="noConversion"/>
  </si>
  <si>
    <t>160</t>
    <phoneticPr fontId="3" type="noConversion"/>
  </si>
  <si>
    <t>11A. Mild</t>
    <phoneticPr fontId="3" type="noConversion"/>
  </si>
  <si>
    <t>24-50</t>
  </si>
  <si>
    <t xml:space="preserve">11B. S. English Brown </t>
    <phoneticPr fontId="3" type="noConversion"/>
  </si>
  <si>
    <t>38-70</t>
  </si>
  <si>
    <t>30-90</t>
    <phoneticPr fontId="3" type="noConversion"/>
  </si>
  <si>
    <t xml:space="preserve">11C. N. English Brown </t>
    <phoneticPr fontId="3" type="noConversion"/>
  </si>
  <si>
    <t>24-44</t>
  </si>
  <si>
    <t>12A. Brown Porter</t>
    <phoneticPr fontId="3" type="noConversion"/>
  </si>
  <si>
    <t>40-60</t>
  </si>
  <si>
    <t>12B. Robust Porter</t>
    <phoneticPr fontId="3" type="noConversion"/>
  </si>
  <si>
    <t>44-70</t>
  </si>
  <si>
    <t>12C. Baltic Porter</t>
    <phoneticPr fontId="3" type="noConversion"/>
  </si>
  <si>
    <t>13A. Dry Stout</t>
    <phoneticPr fontId="3" type="noConversion"/>
  </si>
  <si>
    <t>50-80</t>
  </si>
  <si>
    <t>13B. Sweet Stout</t>
    <phoneticPr fontId="3" type="noConversion"/>
  </si>
  <si>
    <t>60-80</t>
  </si>
  <si>
    <t>13C. Oatmeal Stout</t>
    <phoneticPr fontId="3" type="noConversion"/>
  </si>
  <si>
    <t>44-80</t>
  </si>
  <si>
    <t>13D. Foreign Extra Stout</t>
    <phoneticPr fontId="3" type="noConversion"/>
  </si>
  <si>
    <t>13E. American Stout</t>
    <phoneticPr fontId="3" type="noConversion"/>
  </si>
  <si>
    <t>13F. Imperial Stout</t>
    <phoneticPr fontId="3" type="noConversion"/>
  </si>
  <si>
    <t>120-200</t>
    <phoneticPr fontId="3" type="noConversion"/>
  </si>
  <si>
    <t>14A. English IPA</t>
    <phoneticPr fontId="3" type="noConversion"/>
  </si>
  <si>
    <t>16-28</t>
  </si>
  <si>
    <t>14B. American IPA</t>
  </si>
  <si>
    <t>12-30</t>
  </si>
  <si>
    <t>14C. Imperial IPA</t>
    <phoneticPr fontId="3" type="noConversion"/>
  </si>
  <si>
    <t>16-30</t>
  </si>
  <si>
    <t>15A. Weizen</t>
    <phoneticPr fontId="3" type="noConversion"/>
  </si>
  <si>
    <t>4-16</t>
  </si>
  <si>
    <t>15B. Dunkelweizen</t>
    <phoneticPr fontId="3" type="noConversion"/>
  </si>
  <si>
    <t>28-46</t>
  </si>
  <si>
    <t>15C. Weizenbock</t>
    <phoneticPr fontId="3" type="noConversion"/>
  </si>
  <si>
    <t>15D. Roggenbier</t>
    <phoneticPr fontId="3" type="noConversion"/>
  </si>
  <si>
    <t>28-38</t>
  </si>
  <si>
    <t>16A. Witbier</t>
    <phoneticPr fontId="3" type="noConversion"/>
  </si>
  <si>
    <t>16B. Belgian Pale Ale</t>
    <phoneticPr fontId="3" type="noConversion"/>
  </si>
  <si>
    <t>16C. Saison</t>
    <phoneticPr fontId="3" type="noConversion"/>
  </si>
  <si>
    <t>16D. Bière de Garde</t>
    <phoneticPr fontId="3" type="noConversion"/>
  </si>
  <si>
    <t>12-38</t>
  </si>
  <si>
    <t>17A. Berliner Weisse</t>
    <phoneticPr fontId="3" type="noConversion"/>
  </si>
  <si>
    <t>(-)100-(-)30</t>
    <phoneticPr fontId="3" type="noConversion"/>
  </si>
  <si>
    <t>17B. Flanders Red Ale</t>
    <phoneticPr fontId="3" type="noConversion"/>
  </si>
  <si>
    <t>0-120</t>
    <phoneticPr fontId="3" type="noConversion"/>
  </si>
  <si>
    <t>17C. Oud Bruin</t>
    <phoneticPr fontId="3" type="noConversion"/>
  </si>
  <si>
    <t>30-44</t>
  </si>
  <si>
    <t>17D. Straight Lambic</t>
    <phoneticPr fontId="3" type="noConversion"/>
  </si>
  <si>
    <t>6-14</t>
  </si>
  <si>
    <t>17E. Gueuze</t>
    <phoneticPr fontId="3" type="noConversion"/>
  </si>
  <si>
    <t>17F. Fruit Lambic</t>
    <phoneticPr fontId="3" type="noConversion"/>
  </si>
  <si>
    <t>18A. Belgian Blond Ale</t>
    <phoneticPr fontId="3" type="noConversion"/>
  </si>
  <si>
    <t>8-14</t>
  </si>
  <si>
    <t>18B. Belgian Dubbel</t>
    <phoneticPr fontId="3" type="noConversion"/>
  </si>
  <si>
    <t>18C. Belgian Tripel</t>
    <phoneticPr fontId="3" type="noConversion"/>
  </si>
  <si>
    <t>9-14</t>
  </si>
  <si>
    <t>18D. Golden Strong Ale</t>
    <phoneticPr fontId="3" type="noConversion"/>
  </si>
  <si>
    <t>18E. Dark Strong Ale</t>
    <phoneticPr fontId="3" type="noConversion"/>
  </si>
  <si>
    <t>19A. Old Ale</t>
    <phoneticPr fontId="3" type="noConversion"/>
  </si>
  <si>
    <t>20-44</t>
  </si>
  <si>
    <t>19B. English Barleywine</t>
    <phoneticPr fontId="3" type="noConversion"/>
  </si>
  <si>
    <t>16-44</t>
  </si>
  <si>
    <t>19C. American Barleywine</t>
  </si>
  <si>
    <t>20-38</t>
  </si>
  <si>
    <t>min</t>
  </si>
  <si>
    <t>max</t>
  </si>
  <si>
    <t>Alcalinité Résiduelle:</t>
  </si>
  <si>
    <t>Sulfate/Chloride ratio:</t>
  </si>
  <si>
    <t>pH mesuré:</t>
  </si>
  <si>
    <t>Cible:</t>
  </si>
  <si>
    <t>Alcalinité résid.</t>
  </si>
  <si>
    <t>pH ciblé:</t>
  </si>
  <si>
    <t>OG</t>
  </si>
  <si>
    <t>FG</t>
  </si>
  <si>
    <t>ABV</t>
  </si>
  <si>
    <t>Ratio</t>
  </si>
  <si>
    <t>OG finale</t>
  </si>
  <si>
    <t>Sucre</t>
  </si>
  <si>
    <t>Name</t>
  </si>
  <si>
    <t>Origin</t>
  </si>
  <si>
    <t>Must Mash</t>
  </si>
  <si>
    <t>Potential SG</t>
  </si>
  <si>
    <t>Max in batch</t>
  </si>
  <si>
    <t>Germany</t>
  </si>
  <si>
    <t>Grain</t>
  </si>
  <si>
    <t>Yes</t>
  </si>
  <si>
    <t>US</t>
  </si>
  <si>
    <t>No</t>
  </si>
  <si>
    <t>Amber Malt</t>
  </si>
  <si>
    <t>United Kingdom</t>
  </si>
  <si>
    <t>Aromatic Malt</t>
  </si>
  <si>
    <t>Belgium</t>
  </si>
  <si>
    <t>Barley Hulls</t>
  </si>
  <si>
    <t>Barley, Flaked</t>
  </si>
  <si>
    <t>Barley, Raw</t>
  </si>
  <si>
    <t>Barley, Torrefied</t>
  </si>
  <si>
    <t>Biscuit Malt</t>
  </si>
  <si>
    <t>Black (Patent) Malt</t>
  </si>
  <si>
    <t>Black Barley (Stout)</t>
  </si>
  <si>
    <t>Brown Sugar, Dark</t>
  </si>
  <si>
    <t>Brown Sugar, Light</t>
  </si>
  <si>
    <t>Brumalt</t>
  </si>
  <si>
    <t>Candi Sugar, Amber</t>
  </si>
  <si>
    <t>Candi Sugar, Clear</t>
  </si>
  <si>
    <t>Candi Sugar, Dark</t>
  </si>
  <si>
    <t>Cane (Beet) Sugar</t>
  </si>
  <si>
    <t>Cara-Pils/Dextrine</t>
  </si>
  <si>
    <t>Caraamber</t>
  </si>
  <si>
    <t>Carafoam</t>
  </si>
  <si>
    <t>Caramel/Crystal Malt – 10L</t>
  </si>
  <si>
    <t>Caramel/Crystal Malt – 20L</t>
  </si>
  <si>
    <t>Caramel/Crystal Malt – 30L</t>
  </si>
  <si>
    <t>Caramel/Crystal Malt – 40L</t>
  </si>
  <si>
    <t>Caramel/Crystal Malt – 60L</t>
  </si>
  <si>
    <t>Caramel/Crystal Malt – 80L</t>
  </si>
  <si>
    <t>Caramel/Crystal Malt -120L</t>
  </si>
  <si>
    <t>Caramunich Malt</t>
  </si>
  <si>
    <t>Carared</t>
  </si>
  <si>
    <t>Caravienne Malt</t>
  </si>
  <si>
    <t>Chocolate Malt</t>
  </si>
  <si>
    <t>Corn Sugar (Dextrose)</t>
  </si>
  <si>
    <t>Corn Syrup</t>
  </si>
  <si>
    <t>Corn, Flaked</t>
  </si>
  <si>
    <t>Dememera Sugar</t>
  </si>
  <si>
    <t>Grits</t>
  </si>
  <si>
    <t>Invert Sugar</t>
  </si>
  <si>
    <t>Maple Syrup</t>
  </si>
  <si>
    <t>Melanoiden Malt</t>
  </si>
  <si>
    <t>Mild Malt</t>
  </si>
  <si>
    <t>Milk Sugar (Lactose)</t>
  </si>
  <si>
    <t>Molasses</t>
  </si>
  <si>
    <t>Munich Malt</t>
  </si>
  <si>
    <t>Munich Malt – 10L</t>
  </si>
  <si>
    <t>Munich Malt – 20L</t>
  </si>
  <si>
    <t>Oats, Flaked</t>
  </si>
  <si>
    <t>Oats, Malted</t>
  </si>
  <si>
    <t>Pale Malt (2 Row) Bel</t>
  </si>
  <si>
    <t>Pale Malt (2 Row) UK</t>
  </si>
  <si>
    <t>Pale Malt (2 Row) US</t>
  </si>
  <si>
    <t>Pale Malt (6 Row) US</t>
  </si>
  <si>
    <t>Peat Smoked Malt</t>
  </si>
  <si>
    <t>Pilsner (2 Row) Ger</t>
  </si>
  <si>
    <t>Pilsner (2 Row) UK</t>
  </si>
  <si>
    <t>Rice Hulls</t>
  </si>
  <si>
    <t>Rice, Flaked</t>
  </si>
  <si>
    <t>Rye, Flaked</t>
  </si>
  <si>
    <t>Special B Malt</t>
  </si>
  <si>
    <t>Sugar, Table (Sucrose)</t>
  </si>
  <si>
    <t>Toasted Malt</t>
  </si>
  <si>
    <t>Turbinado</t>
  </si>
  <si>
    <t>Victory Malt</t>
  </si>
  <si>
    <t>Vienna Malt</t>
  </si>
  <si>
    <t>Wheat Malt, Bel</t>
  </si>
  <si>
    <t>Wheat Malt, Dark</t>
  </si>
  <si>
    <t>Wheat Malt, Ger</t>
  </si>
  <si>
    <t>Wheat, Flaked</t>
  </si>
  <si>
    <t>Wheat, Roasted</t>
  </si>
  <si>
    <t>Wheat, Torrified</t>
  </si>
  <si>
    <t>White Wheat Malt</t>
  </si>
  <si>
    <t>POTENTIEL GRAND TOTAL</t>
  </si>
  <si>
    <t>Plato</t>
  </si>
  <si>
    <t>OG estimée moût</t>
  </si>
  <si>
    <t>OG retenue</t>
  </si>
  <si>
    <t>FG finale</t>
  </si>
  <si>
    <t>Attenuation apparente</t>
  </si>
  <si>
    <t>Attenuation Réelle</t>
  </si>
  <si>
    <t>oz.</t>
  </si>
  <si>
    <t>cal ebu</t>
  </si>
  <si>
    <t>bic ebu</t>
  </si>
  <si>
    <t>base</t>
  </si>
  <si>
    <t>distillée</t>
  </si>
  <si>
    <t>bouillie</t>
  </si>
  <si>
    <t>Diacéthyle</t>
  </si>
  <si>
    <t>OG:</t>
  </si>
  <si>
    <t>FG:</t>
  </si>
  <si>
    <t>lbs.</t>
  </si>
  <si>
    <t xml:space="preserve">Conversion: </t>
  </si>
  <si>
    <t>Flocons</t>
  </si>
  <si>
    <t>Ajouts</t>
  </si>
  <si>
    <t>Style Family: Pale Ales</t>
  </si>
  <si>
    <t>Quantitative Style Statistics</t>
  </si>
  <si>
    <t>U.S. Commercial Examples</t>
  </si>
  <si>
    <t>HopBack AmberTroegs Brewing Co.</t>
  </si>
  <si>
    <t>Boont AmberAnderson Valley Brewing Co.</t>
  </si>
  <si>
    <t>Red SealNorth Coast Brewing Co.</t>
  </si>
  <si>
    <t>Style A-Z</t>
  </si>
  <si>
    <t>Food Pairings</t>
  </si>
  <si>
    <t>Yeast</t>
  </si>
  <si>
    <t>OG recette</t>
  </si>
  <si>
    <t>Correction</t>
  </si>
  <si>
    <t>Ajout sucre</t>
  </si>
  <si>
    <t>%</t>
  </si>
  <si>
    <t>Max %</t>
  </si>
  <si>
    <t>Whirlpool</t>
  </si>
  <si>
    <t>End/Whirl.</t>
  </si>
  <si>
    <t>Recette</t>
  </si>
  <si>
    <t>Atténuation</t>
  </si>
  <si>
    <t>HOUBLONNAGE</t>
  </si>
  <si>
    <t>SG</t>
  </si>
  <si>
    <t>https://www.craftbeer.com/beer/beer-styles-guide</t>
  </si>
  <si>
    <t>Like many others that have become known as classic American beers, the American pale ale can trace its roots to beer styles from abroad. The American pale ale beer was inspired by the English pale ale, replacing its English counterpart’s earthy, herbal hops with generous additions of boldly citrus and pine-like American varieties. As one of the most popular American beer styles, pale ale beer is not hard to track down, but the various takes on this iconic style by just as many American craft brewers makes it impossible to jam everything there is to know about American pale ale beer on one page, but we’ll do our best.</t>
  </si>
  <si>
    <t>American Pale Ale Beers</t>
  </si>
  <si>
    <t>Characterized by floral, fruity, citrus-like, piney, resinous American hops, the American pale ale is a medium-bodied beer with low to medium caramel, and carries with it a toasted maltiness. American pale ale is one of the most food-friendly styles to enjoy, since the pale ale works wonderfully with lighter fare such as salads and chicken, but can still stand up to a hearty bowl of chili; a variety of different cheeses, including cheddar; seafood, like steamed clams or fish, and even desserts. The American pale ale’s affinity to food can be attributed to the simplicity of its ingredients, which include toasty pale malt, a clean fermenting ale beer yeast, and the counterbalance of American hops to help tease out the flavor or cleanse the palate, preparing you for another bite.</t>
  </si>
  <si>
    <t>Pale Ale Beer in America</t>
  </si>
  <si>
    <t>While pale ale beer has definitively English roots, many credit the American take on the style to the advent of Sierra Nevada Pale Ale, which employs the use of American Cascade hops and a clean fermenting ale yeast that has become synonymous with today’s West Coast style craft beers. Currently, pale ales offer beer fans a balance between malt and hops, which make pale ales one of the most enjoyed and approachable beer styles available.</t>
  </si>
  <si>
    <t>American pale ale beer remains a staple of the American beer world because it continues to evolve. With each passing day, independent breweries across the country are reimagining the classic pale ale by experimenting with local ingredients to craft flavor profiles that push the boundaries of beer. If you’d like to further explore the world of pale ales and learn more about American pale ale beers, continue to explore our site. Expand your American pale ale knowledge base by responsibly trying beers first hand, and track down craft breweries using our brewery map.</t>
  </si>
  <si>
    <t>Stick's Pale AleBootstrap Brewing Co.</t>
  </si>
  <si>
    <t>Pale AleSierra Nevada</t>
  </si>
  <si>
    <t>Mirror PondDeschutes Brewery</t>
  </si>
  <si>
    <t>One of the most approachable styles, a golden or blonde ale is an easy-drinking beer that is visually appealing and has no particularly dominating malt or hop characteristics. Rounded and smooth, it is an American classic known for its simplicity. Sometimes referred to as “golden ale.” These beers can have honey, spices and fruit added, and may be fermented with lager or ale yeast.</t>
  </si>
  <si>
    <t>Summer Love AleVictory Brewing Co.</t>
  </si>
  <si>
    <t>Twilight Summer AleDeschutes Brewery</t>
  </si>
  <si>
    <t>KirbyEcho Brewing Co.</t>
  </si>
  <si>
    <t>English-Style Bitter</t>
  </si>
  <si>
    <t>The English-style bitter is a very sessionable, lower-alcohol, malt-driven style. Broad style description commonly associated with cask-conditioned beers. The light- to medium-bodied ordinary bitter is gold to copper in color, with a low residual malt sweetness. Hop bitterness is medium.</t>
  </si>
  <si>
    <t>Midsummer FlingHarpoon Brewery</t>
  </si>
  <si>
    <t>Pale AleRio Blanco Brewing Co.</t>
  </si>
  <si>
    <t>RedfeatherBlack Raven Brewing Co.</t>
  </si>
  <si>
    <t>English-Style Pale Ale (ESB)</t>
  </si>
  <si>
    <t>ESB stands for “extra special bitter.” This style is known for its balance and the interplay between malt and hop bitterness. English pale ales display earthy, herbal English-variety hop character. Medium to high hop bitterness, flavor and aroma should be evident. The yeast strains used in these beers lend a fruitiness to their aromatics and flavor, referred to as esters. The residual malt and defining sweetness of this richly flavored, full-bodied bitter is medium to medium-high.</t>
  </si>
  <si>
    <t>5 Barrel Pale AleOdell Brewing Co.</t>
  </si>
  <si>
    <t>Royal ScandalPeticolas Brewing Co.</t>
  </si>
  <si>
    <t>Moondog AleGreat Lakes Brewing Co.</t>
  </si>
  <si>
    <t>American Amber Lager</t>
  </si>
  <si>
    <t>Style Family: Dark Lagers</t>
  </si>
  <si>
    <t>A widely available, sessionable craft beer style that showcases both malt and hops. Amber lagers are a medium-bodied lager with a toasty or caramel-like malt character. Hop bitterness can range from very low to medium-high. Brewers may use decoction mash and dry-hopping to achieve advanced flavors.</t>
  </si>
  <si>
    <t>Sam Adams Boston LagerBoston Beer Co.</t>
  </si>
  <si>
    <t>LagerBrooklyn Brewery</t>
  </si>
  <si>
    <t>Lighter Than I LookFigueroa Mountain Brewing</t>
  </si>
  <si>
    <t>German-Style Dunkel</t>
  </si>
  <si>
    <t>The German-style dunkel is a bottom-fermented lager style beer. The word “dunkel” is German for “dark,” and this dark beer style offers beer lovers balanced flavors of chocolate, bread crust and caramel. The dunkel is a classic German lager that craft brewers are fond of brewing and countless people across the world are fond of enjoying. Like most German beers, dunkel beer is a great candidate for food pairing, matching up well to grilled meats.</t>
  </si>
  <si>
    <t>A German-style dunkel, sometimes referred to as a Munchner dunkel, should have an aroma comprised of chocolate roasted malt and bread or biscuit-like features that stem from the use of Munich malt. Despite the malt forward flavor profile, this beer does not offer an overly sweet impression. Rather, you’ll find a mild balance between the distinct character of malt and the refined touch of bitterness from noble hops, indicative of what many beer drinkers expect from German beer styles.</t>
  </si>
  <si>
    <t>Shedding Light on the German Dunkel</t>
  </si>
  <si>
    <t>Comprised of mostly Munich malt, the German dunkel’s caramelized malt experience is the product of a chemical process known as the Maillard reaction. This reaction is what lends Munich malt its distinctive bread crust flavor. While barley malt is kilned, the malt browns, creating a myriad of caramelized flavors. Browned proteins, like grilled pork chops and oven-browned bread both benefit from the Maillard reaction. Keep this in mind when you are pairing these types of foods with beers since dishes that showcase flavors derived from the Maillard reaction complement each other very well. These flavors are what make grilled pork chops a great meal to enjoy with a German dunkel beer.</t>
  </si>
  <si>
    <t>Finding German Dunkel Beer</t>
  </si>
  <si>
    <t>The CraftBeer.com “Find a Brewery” map is designed to help everyone from the craft beer connoisseur to the casual craft beer drinker find their first, or next, favorite brewery or brewpub. Through searching by location, brewery name, or even by state, we can point you in the direction of the nearest brewery where you can find your next favorite beer, which could be a German dunkel.</t>
  </si>
  <si>
    <t>If you enjoy the website and are interested in a convenient way to learn more about German beer, what types of foods and flavors match best with German-style beers, or any other variety of beer of your choosing, sign up to have our newsletter delivered directly to your inbox.</t>
  </si>
  <si>
    <t>Moondoor DunkelWibby Brewing</t>
  </si>
  <si>
    <t>Knight Ryder Munich DunkelEquinox Brewing</t>
  </si>
  <si>
    <t>DunkelChuckanut Brewery</t>
  </si>
  <si>
    <t>German-Style Marzen / Oktoberfest</t>
  </si>
  <si>
    <t>A beer rich in malt with a balance of clean, hop bitterness, similar to the Vienna lager. Toasted bread or biscuit-like malt aroma and flavor is to be expected. Originating in Germany, this style was traditionally brewed in the spring (“Marzen” meaning “March”) and aged, or lagered, throughout the summer. A stronger version was served at early Oktoberfest celebrations and became known as Oktoberfest. Today, the festival’s version of an Oktoberfest is quite a bit lighter than what American craft brewers consider an Oktoberfest.</t>
  </si>
  <si>
    <t>RhinofestLost Rhino Brewing Co.</t>
  </si>
  <si>
    <t>Shiner OktoberfestSpoetzl Brewery</t>
  </si>
  <si>
    <t>FestbierVictory Brewing Co.</t>
  </si>
  <si>
    <t>German-Style Schwarzbier</t>
  </si>
  <si>
    <t>Sometimes called black lagers, they may remind some of German-style dunkels, but schwarzbiers are drier, darker and more roast-oriented.These very dark brown to black beers have a surprisingly pale-colored foam head (not excessively brown) with good cling quality. They have a mild roasted malt character without the associated bitterness. Malt flavor and aroma is at low to medium levels of sweetness.</t>
  </si>
  <si>
    <t>DTB SchwarzbierDesperate Times Brewery</t>
  </si>
  <si>
    <t>Black BavarianSprecher Brewing Co.</t>
  </si>
  <si>
    <t>Sam Adams Black LagerBoston Beer</t>
  </si>
  <si>
    <t>Vienna-Style Lager</t>
  </si>
  <si>
    <t>Vienna Lager ranges from copper to reddish brown in color. The beer is characterized by malty aroma and slight malt sweetness. The malt aroma and flavor should have a notable degree of toasted and/or slightly roasted malt character. Hop bitterness is low to medium-low.</t>
  </si>
  <si>
    <t>Eliot NessGreat Lakes Brewing Co.</t>
  </si>
  <si>
    <t>ViennaSierra Nevada Brewing Co.</t>
  </si>
  <si>
    <t>Vienna LagerChuckanut Brewery</t>
  </si>
  <si>
    <t>American Brown Ale</t>
  </si>
  <si>
    <t>Style Family: Brown Ales</t>
  </si>
  <si>
    <t>Roasted malt, caramel-like and chocolate-like characters should be of medium intensity in both flavor and aroma for the American brown ale. American-style brown ales have evident low to medium hop flavor and aroma and medium to high hop bitterness. The history of this style dates back to U.S. homebrewers who were inspired by English-style brown ales and porters. It sits in flavor between those British styles and is more bitter than both.</t>
  </si>
  <si>
    <t>Brooklyn Brown AleBrooklyn Brewery</t>
  </si>
  <si>
    <t>Settle Down BrownOdell Brewing Co.</t>
  </si>
  <si>
    <t>Face Down BrownTelluride Brewing Co.</t>
  </si>
  <si>
    <t>English-Style Brown Ale</t>
  </si>
  <si>
    <t>A bona fide English beer classic, English-style brown ale is easily one of the most iconic beer styles. Toasty, robust and with a bit of chocolate maltiness, the English brown ale is a meal in a glass, but offers unlimited opportunities for memorable food pairings. Neither flashy nor boring, the English brown is a beer with enough variation to keep devotees ordering them time and time again.</t>
  </si>
  <si>
    <t>English-style brown ales have two variations: a dry, roasted version that is said to have originated from northern England, and a sweeter, less attenuated brown ale variety that is believed to have gained favor in the southern portion of England. Both offer a toasted nut, chocolatey character indicative of brown ales. The English brown ale varieties will not be as hoppy or bitter as their American counterparts and favor English hops as well as characterful English ale yeast. Either style can be excellent with a variety of foods, particularly braised meats, but they are perfectly fine to be enjoyed on their own. The alcohol content of this beer is characteristically moderate and does not typically exceed 5.5 percent ABV.</t>
  </si>
  <si>
    <t>Refining English Brown Ale Beer</t>
  </si>
  <si>
    <t>It’s safe to say that beer will never go out of style, but with all of the different forms of beer on the craft beer scene, it can be easy for brown ales to get pushed to the side. English-style brown ale is often one of those beers that people look past — but you should take the opportunity to try this traditional style when you’re at a craft brewery. With relatively low bitterness and two distinct varieties that best complement different pairings, it’s one of the most versatile English beers ever created. Whether you prefer sweeter or more hop-forward ales, there is an English brown ale that’s right for you.</t>
  </si>
  <si>
    <t>If you are in the mood to try one of these classic English brown ale beers, our “Find a Brewery” map can help you do precisely that. By entering your location, any particular state, or the name of a specific brewery, we can point you in the direction of the nearest brewery where you can find your next favorite beer, which could be a variation of an English-style brown ale.</t>
  </si>
  <si>
    <t>If you enjoy the website and are interested in a convenient way to learn more about English-style brown ale, or any other style of beer, sign up to have our newsletter delivered directly to your inbox.</t>
  </si>
  <si>
    <t>Bandit BrownCity Star Brewing</t>
  </si>
  <si>
    <t>Nautical Nut BrownAleSmith Brewing Co.</t>
  </si>
  <si>
    <t>Boulder Garden BrownOrlison Brewing Co.</t>
  </si>
  <si>
    <t>English-Style Mild</t>
  </si>
  <si>
    <t>Malt and caramel are part of the flavor and aroma profile of the English-style mild while licorice and roast malt tones may sometimes contribute as well. Hop bitterness is very low to low. U.S. brewers are known to make lighter-colored versions as well as the more common “dark mild.” These beers are very low in alcohol, yet often are still medium-bodied due to increased dextrin malts.</t>
  </si>
  <si>
    <t>SS Minnow MildDry Dock Brewing Co.</t>
  </si>
  <si>
    <t>BristleconeUinta Brewing Co.</t>
  </si>
  <si>
    <t>Hold the ReinsBrink Brewing Co.</t>
  </si>
  <si>
    <t>Style Family: India Pale Ales</t>
  </si>
  <si>
    <t>Characterized by floral, fruity, citrus-like, piney or resinous American-variety hop character, the IPA beer style is all about hop flavor, aroma and bitterness. This has been the most-entered category at the Great American Beer Festival for more than a decade, and is the top-selling craft beer style in supermarkets and liquor stores across the U.S.</t>
  </si>
  <si>
    <t>Stone IPAStone Brewing Co.</t>
  </si>
  <si>
    <t>Two Hearted AleBell's Brewery</t>
  </si>
  <si>
    <t>Bodhizafa IPAGeorgetown Brewing Co.</t>
  </si>
  <si>
    <t>English-Style IPA</t>
  </si>
  <si>
    <t>Strong, bitter and completely misunderstood, the English India pale ale (or English IPA) bridges the gap between past and present. No other style represents modern craft brewing excitement quite like the IPA, and while this English beer differs widely from the American version it inspires, this strong member of the English pale ale family has plenty of its own to offer — including all of the history behind this variety.</t>
  </si>
  <si>
    <t>English India Pale Ale</t>
  </si>
  <si>
    <t>Steeped in lore (and extra hops), the English-style IPA is a stronger version of a pale ale. The English-style pale ale is characterized by a hearty helping of English hop character (earthy, floral) and increased alcohol content. English yeast lend a fruity character to the flavor and aroma, offering a contrast to the earthy English hop additions. Different from its American counterpart, this style strikes a balance between malt and hops for a more rounded flavor.</t>
  </si>
  <si>
    <t>There is also a lot of mythology surrounding the creation of this style, which is still debated today. It is most commonly believed that English style pale ale was birthed from the need for a beer that could survive the journey to and from India, a land too warm for beer brewing without the aid of modern technology. The increased alcohol and hop contents would act as preservatives, giving IPAs the qualities that they are known for to this day. In actuality, the beer style that would become popularly known as an India pale ale bears little in common with the contemporary iteration you enjoy today. Additionally, beers similar to what made the trip to India had been in production for domestic consumption prior to any reports of it being exported and records show that other beer styles, including porter, made their way to the English colony of India and were enjoyed by parched soldiers and colonists.</t>
  </si>
  <si>
    <t>English pale ale beers, like the IPA, always offer great beer pairing opportunities. Strong English cheeses as well as grilled or braised meats, like pork, can make very tasty flavor experiences when paired with an English IPA. The higher alcohol, hops and carbonation all work to cut through fat and cleanse the palate, helping every bite be as tasty as the first.</t>
  </si>
  <si>
    <t>Locating the Next India Pale Ale</t>
  </si>
  <si>
    <t>As popular as English beers, particularly IPAs, have become among beer lovers, we want to do our part to keep craft beers fans in the loop when it comes to these English beer styles. Our “Find a Brewery” map is designed to do precisely that. It can be overwhelming to sift through all of the English beers on the craft scene, and we want to make it easy for you to find your first or your favorite English pale ale beer. Search by location, or search by state, and our map will point you in the direction of the nearest brewery where you can find your next favorite beer, which could include the English-style India pale ale beer.</t>
  </si>
  <si>
    <t>Finding your first ever or next favorite English-style India pale ale doesn’t have to stop here. If you enjoy the website and are interested to learn more about English-style India pale ale beer, sign up to have our newsletter delivered directly to your inbox.</t>
  </si>
  <si>
    <t>PunjabiCooperSmith's Pub &amp; Brewing</t>
  </si>
  <si>
    <t>Sam Adams Lattitude 48 Hallertau MittelfruehBoston Beer Co.</t>
  </si>
  <si>
    <t>East India IPABrooklyn Brewery</t>
  </si>
  <si>
    <t>Imperial India Pale Ale</t>
  </si>
  <si>
    <t>American craft beer lovers are huge fans of the IPA. The quest for more of the India pale ale flavor has led them to the imperial India pale ale, a stronger version of the American IPA, which boasts even more hoppy flavor, aroma and bitterness. Imperial India pale ale is darker in color than the American IPA, substantially more bitter, and high in alcohol by volume. This all-American take on the IPA leaves craft beer fans with plenty of new creations to try.</t>
  </si>
  <si>
    <t>Imperial India Pale Ale Basics</t>
  </si>
  <si>
    <t>The imperial India pale ale features high hop bitterness, flavor and aroma. Hop character is fresh and evident from the utilization of any variety of hops. Alcohol content is medium-high to high and notably evident with a medium-high to full body. This style intends to exhibit the fresh, evident character of hops.</t>
  </si>
  <si>
    <t>America’s Spin on IPAs</t>
  </si>
  <si>
    <t>Craft beer has grown because of the curiosity that American craft brewers have exhibited through their tweaking of classic beer recipes. The love for the American IPA flavor that craft beer consumers have shown has led American craft brewers to the imperial IPA. The imperial IPA beer style creeps towards some of the strongest of ales in alcohol content, but the increase in hops from the original IPA beer recipe gives it a more bitter taste and doesn’t bring the same malt taste that barley wine does. For fans of the original India pale ale flavor, the imperial IPA is the perfect craft beer for you to explore.</t>
  </si>
  <si>
    <t>Finding Craft Breweries that Serve IPA Beers</t>
  </si>
  <si>
    <t>It can be challenging to keep up with all the breweries that serve their own variations of the India pale ale. To help you keep up with all of the breweries and brewpubs that make up the craft beer scene, we have created an interactive “Find a Brewery” map to help you do precisely that. By entering your precise location, searching by state, or searching for a specific brewery, you’ll be able to discover craft breweries near you, and many are likely to brew variations of India pale ales.</t>
  </si>
  <si>
    <t>Finding your next favorite imperial IPA beer doesn’t have to stop here. If you enjoy the website and are interested in a convenient way to learn more about imperial India pale ales, sign up to have our newsletter delivered directly to your inbox. We can’t send you beer, but we can send you our newsletter which is almost as good.</t>
  </si>
  <si>
    <t>Hop JuJuFat Heads Brewery</t>
  </si>
  <si>
    <t>2x4Melvin Brewing Co.</t>
  </si>
  <si>
    <t>FuriousSurly Brewing Co.</t>
  </si>
  <si>
    <t>New England IPA</t>
  </si>
  <si>
    <t>Emphasizing hop aroma and flavor without bracing bitterness, the New England IPA  leans heavily on late and dry hopping techniques to deliver a bursting juicy, tropical hop experience. The skillful balance of technique and ingredient selection, often including the addition of wheat or oats, lends an alluring haze to this popular take on the American IPA.</t>
  </si>
  <si>
    <t>Juicy BitsWeldworks Brewing Co.</t>
  </si>
  <si>
    <t>Juice BoxGreat Notion Brewing</t>
  </si>
  <si>
    <t>Double MoonageCellarmaker Brewing</t>
  </si>
  <si>
    <t>Carbonation (Visual)</t>
  </si>
  <si>
    <t>Color</t>
  </si>
  <si>
    <t>American-Style Wheat Wine Ale</t>
  </si>
  <si>
    <t>Style Family: Wheat Beers</t>
  </si>
  <si>
    <t>Part of the “strong ale” category, the American-Style Wheat Wine Ale is not derived from grapes as its name might suggest. Made with at least 50 percent wheat malt, this full-bodied beer features bready and candy flavors, and finishes with a great deal of malty sweetness. These beers may be oak-aged and sometimes have small amounts of darker malts added.</t>
  </si>
  <si>
    <t>Wheat WineSmuttynose Brewing Co.</t>
  </si>
  <si>
    <t>Winter Wheat WineRubicon Brewing Co.</t>
  </si>
  <si>
    <t>Wheat WineThe Portsmouth Brewery</t>
  </si>
  <si>
    <t>American wheat beers are some of the most approachable beers in the craft beer world, and the versatility of wheat beer allows it to be combined with a variety of ingredients or enjoyed on its own alongside a wide variety of food options. The sizable portion of wheat malt used to brew wheat beer lends a lighter, distinctive experience compared to beers brewed with barley exclusively.</t>
  </si>
  <si>
    <t>American Wheat Beer</t>
  </si>
  <si>
    <t>Typically lighter in appearance, wheat beer can be made using either ale or lager yeast, and American wheat beer can be brewed with at least 30 percent malted wheat. Like the traditional German hefeweizen, these beers are typically served unfiltered and can have a cloudy appearance when roused. Traditionally hoppier than its German cousin, American wheat beer differs in that it does not offer flavors of banana or clove, which is indicative of the weizen yeast strain. Nevertheless, the American wheat beer is known worldwide as a refreshing summer style.</t>
  </si>
  <si>
    <t>The Origin of Wheat Beer in America</t>
  </si>
  <si>
    <t>Malted wheat imparts a distinctively light, flour-like character that differs from all-barley malt beer varieties. American craft brewers were likely inspired by the fruit and spice forward, unfiltered wheat beers of Bavaria. But without access to the specialty Bavarian weizen yeast so critical to the hefeweizen, brewers were forced to use clean fermenting American ale and lager yeast. The American wheat’s composition gives it a particularly inviting style, accepting of additional ingredients, particularly raspberries, watermelon and even chilis.</t>
  </si>
  <si>
    <t>Locating Your New Favorite American Wheat Beer</t>
  </si>
  <si>
    <t>The versatility of wheat beer is a large part as to why it is such a popular craft beer option across the country year-round. Its light character makes it a smooth American beer to pair with lighter foods like salads, shellfish and fresh cheeses. American beer brewers have successfully mastered their own version of the wheat beer, and we want to do our part to help you find your new favorite. Our “Find a Brewery” map is designed to help you find a place near you to try your first, or next, American wheat beer.</t>
  </si>
  <si>
    <t>Finding your new favorite wheat beer doesn’t have to stop here. If you enjoy the website and are interested in a convenient way to learn more about American beer, sign up to have our newsletter delivered directly to your inbox.</t>
  </si>
  <si>
    <t>Whacked Out WheatTelluride Brewing Co.</t>
  </si>
  <si>
    <t>OberonBell's Brewery Inc.</t>
  </si>
  <si>
    <t>TumblewheatAltitude Chophouse and Brewery</t>
  </si>
  <si>
    <t>Belgian-Style Witbier</t>
  </si>
  <si>
    <t>Belgian-style witbier is brewed using unmalted wheat, sometimes oats and malted barley. Witbiers are spiced with coriander and orange peel. A style that dates back hundreds of years, it fell into relative obscurity until it was revived by Belgian brewer Pierre Celis in the 1960s. This style is currently enjoying a renaissance, especially in the American market. “Wit” means “white.”</t>
  </si>
  <si>
    <t>Optimal WitPort City Brewing Co.</t>
  </si>
  <si>
    <t>Ommegang Witte AleBrewery Ommegang</t>
  </si>
  <si>
    <t>WhiteAllagash Brewing Co.</t>
  </si>
  <si>
    <t>Berliner-Style Weisse</t>
  </si>
  <si>
    <t>Low in alcohol, refreshingly tart, and often served with a flavored syrup like Woodruff or raspberry, the Berliner-style Weisse presents a harmony between yeast and lactic acid. These beers are very pale in color, and may be cloudy as they are often unfiltered. Hops are not a feature of this style, but these beers often do showcase esters. Traditional versions often showcase Brettanomyces yeast. Growing in popularity in the U.S., where many brewers are now adding traditional and exotic fruits to the recipe, resulting in flavorful finishes with striking, colorful hues. These beers are incredible when pairing. Bitterness, alcohol and residual sugar are very low, allowing the beer’s acidity, white bread and graham cracker malt flavors to shine. Carbonation is very high, adding to the refreshment factor this style delivers. Many examples of this style contain no hops and thus no bitterness at all.</t>
  </si>
  <si>
    <t>Berliner WeisseNodding Head Brewery &amp; Restaurant</t>
  </si>
  <si>
    <t>AthenaCreature Comforts Brewing Co.</t>
  </si>
  <si>
    <t>Hottenroth Berliner WeisseThe Bruery</t>
  </si>
  <si>
    <t>German-Style Dunkelweizen</t>
  </si>
  <si>
    <t>The German-style Dunkelweizen can be considered a cross between a German-style dunkel and a hefeweizen. Distinguished by its sweet maltiness and chocolate-like character, it can also have banana and clove (and occasionally vanilla or bubblegum) esters from weizen ale yeast.</t>
  </si>
  <si>
    <t>Samuel Adams DunkelweizenBoston Beer Co.</t>
  </si>
  <si>
    <t>Shiner DunkelweizenSpoetzl Brewery</t>
  </si>
  <si>
    <t>Dunkle WeisseSierra Nevada / Ayinger</t>
  </si>
  <si>
    <t>German-Style Hefeweizen</t>
  </si>
  <si>
    <t>Arguably one of the most recognizable beer styles, the German-style hefeweizen offers a striking beer experience thanks to the use of distinctive wheat malt, unique yeast and uncharateristic appearance. This wheat beer breaks from the German beer mold, showcasing yeast-driven fruit and spice as well as bearing an eye-catching mystique. Don’t let the cloudy hefeweizen deter you, this beer is one of the world’s most enjoyable styles for beer geeks and neophytes, alike. The refreshing qualities of this highly-carbonated style have kept it alive for centuries. Try one for yourself and experience why that is, firsthand.</t>
  </si>
  <si>
    <t>The German-style hefeweizen is straw to amber in color and brewed with at least 50 percent malted wheat. The aroma and flavor of a weissbier comes largely from the yeast and is decidedly fruity (banana) and phenolic (clove). The intensity of these wildly differing flavor qualities varies depending on the brewer, but the two are most commonly balanced. Hefeweizen typically contains a low to moderate alcohol content and is considered to be the most popular amongst the German weissbier variety.</t>
  </si>
  <si>
    <t>Hefeweizen Beer</t>
  </si>
  <si>
    <t>In German, “hefe” refers to the yeast which remains in suspension giving the German beer its cloudy appearance, and “weizen” denotes the use of wheat. This wheat beer is at its best when poured into a weizen vase, a large curvaceous glass which showcases the beer’s beautiful glow and corrals its large, persistent foam cap given the style’s characteristic effervescence. A German weissbier must showcase the weizen yeast’s one-two punch of fruit and spice to be recognized as a German hefeweizen. The bright fruitiness of banana alongside the pungency of clove allow this beer to work well with a variety of lighter foods, such as salads, seafood and even a variety of egg dishes.</t>
  </si>
  <si>
    <t>Tracking Down German Hefeweizen</t>
  </si>
  <si>
    <t>German hefeweizen beer, like any other beer, tastes best when freshly poured at a brewery, and we want to help you find the breweries near you that serve the German hefeweizen that you seek. Use our “Find a Brewery” feature to locate breweries based on your location or search for a specific brewery by name. You can even search by state to find a small and independent brewer near you in order to track down your next favorite beer, which could be a German hefeweizen beer.</t>
  </si>
  <si>
    <t>Finding your next favorite German hefeweizen doesn’t have to stop here. If you enjoy the website and are interested in a convenient way to learn more about German beer, or any other kind of beer for that matter, sign up to have our newsletter delivered directly to your inbox.</t>
  </si>
  <si>
    <t>DreamWeaver WheatTroegs Brewing Co.</t>
  </si>
  <si>
    <t>Big Horn HefeweizenCB and Potts Restaurant &amp; Brewery</t>
  </si>
  <si>
    <t>Ebel's WeissTwo Brothers Brewing Co.</t>
  </si>
  <si>
    <t>American Barley Wine</t>
  </si>
  <si>
    <t>Style Family: Strong Ales</t>
  </si>
  <si>
    <t>American barley wine ranges from amber to deep red/copper-garnet in color. A caramel and/or toffee aroma and flavor are often part of the malt character along with high residual malty sweetness. Complexity of alcohols is evident. Fruity-ester character is often high. As with many American versions of a style, this barley wine ale is typically more hop-forward and bitter than its U.K. counterpart. Low levels of age-induced oxidation can harmonize with other flavors and enhance the overall experience. Sometimes sold as vintage releases.</t>
  </si>
  <si>
    <t>BigfootSierra Nevada Brewing Co.</t>
  </si>
  <si>
    <t>Old NumbskullAleSmith Brewing Co.</t>
  </si>
  <si>
    <t>Toad Choker Barley WineNine Band Brewing Co.</t>
  </si>
  <si>
    <t>American Imperial Red Ale</t>
  </si>
  <si>
    <t>The use of American hops in the American imperial red ale lends to the perception of medium hop bitterness, flavor and aroma. Coupled with a solid malt profile, this should be a beer with balance between hop bitterness and malt sweetness. This is another example of modern American brewers taking an established style and boosting the flavor. California brewers are credited with creating this innovative style.</t>
  </si>
  <si>
    <t>The Red GloveBoxing Bear Brewing Co.</t>
  </si>
  <si>
    <t>Shark Attack Double Red AlePort Brewing Co.</t>
  </si>
  <si>
    <t>Paradocs Red Imperial IPANinkasi Brewing</t>
  </si>
  <si>
    <t>British-Style Barley Wine Ale</t>
  </si>
  <si>
    <t>The name “British-style barley wine” represents a group of strong ales that rival the strength and complexity of some of the world’s most celebrated beverages. This brawny, malt-forward beer style is often one of the strongest beer styles on any given beer menu, and showcases a complex melange of toffee and fruit flavors counterbalanced by warming alcohol and sturdy hop bitterness. The barley wine beer style is a sipper, enjoyed responsibly, stylishly — preferably in front of a fire in a comfy chair amongst a plethora of leather-bound books.</t>
  </si>
  <si>
    <t>Barley wine beer is a strong ale that leans heavily on malt characteristics for flavor. With a wide color range and characteristically high in alcohol content, this is a style that is often aged, as it evolves well over time. As barley wine beers advance in age, they develop oxidative characteristics, including honey and toffee flavors as well as aromas, darker colors, lessened bitterness and more.</t>
  </si>
  <si>
    <t>Deconstructing Barley Wine</t>
  </si>
  <si>
    <t>The origin of the barley wine name brings confusion and its exact origin remains unclear. Strong, wine-strength beers have been around before the name barley wine was first used, but it is often said that barley wine does refer to a wine-strengthened beer. In history, few things are that simple, but regardless of origin, barley wine remains a strong ale with complex malts flavors and sturdy hop bitterness. While no grapes are harmed in the making of this ale, barley wines share wine’s compatibility with food, favoring rich dishes, desserts, the strongest of cheeses and even make for a great after meal digestif.</t>
  </si>
  <si>
    <t>Tracking Down Your Next Barley Wine Beer</t>
  </si>
  <si>
    <t>Many craft breweries, microbreweries and brewpubs in the United States brew barley wines for beer lovers to hunt down, and we want to help you find the places to try them. Our “Find a Brewery” map is designed to help you find a location near you to try your first, or next, barley wine beer, and it might be closer to you than you think.</t>
  </si>
  <si>
    <t>If you enjoy the website and are interested in a convenient way to learn more about barley wine, sign up to have our newsletter delivered directly to your inbox.</t>
  </si>
  <si>
    <t>Blithering IdiotWeyerbacher Brewing Co.</t>
  </si>
  <si>
    <t>Old Stock AleNorth Coast Brewing Co.</t>
  </si>
  <si>
    <t>Barley Wine AleDick's Brewing Co.</t>
  </si>
  <si>
    <t>English-Style Old Ale</t>
  </si>
  <si>
    <t>A distinctive quality of these ales is that their yeast undergoes an aging process (often for years) in bulk storage or through bottle conditioning, which contributes to a rich, wine-like and often sweet oxidation character. Old ales are copper-red to very dark in color. Complex estery character may emerge.</t>
  </si>
  <si>
    <t>Irish WalkerOlde Hickory Brewing</t>
  </si>
  <si>
    <t>Heini's HoochThe Church Brew Works</t>
  </si>
  <si>
    <t>Heini's Good CheerRoundabout Brewery</t>
  </si>
  <si>
    <t>Belgian-Style Blonde Ale</t>
  </si>
  <si>
    <t>Style Family: Belgian Styles</t>
  </si>
  <si>
    <t>The Belgian-style blonde ale is typically easy-drinking, with a low but pleasing hop bitterness. This is a light- to medium-bodied ale, with a low malt aroma that has a spiced and sometimes fruity-ester character. Sugar is sometimes added to lighten the perceived body. This style is medium in sweetness and not as bitter as Belgian-style tripels or golden strong ales. It is usually brilliantly clear. The overall impression is balance between light sweetness, spice and low to medium fruity ester flavors.</t>
  </si>
  <si>
    <t>BlondeAllagash Brewing Co.</t>
  </si>
  <si>
    <t>Tiburon BlondeMarin Brewing Co.</t>
  </si>
  <si>
    <t>Solid GoldCannonball Creek Brewing Co.</t>
  </si>
  <si>
    <t>Belgian-Style Dubbel</t>
  </si>
  <si>
    <t>The Belgian-style dubbel ranges from brown to very dark in color. They have a malty sweetness and can have cocoa and caramel aromas and flavors. Hop bitterness is medium-low to medium. Yeast-generated fruity esters (especially banana) can be apparent. Often bottle-conditioned, a slight yeast haze and flavor may be evident. “Dubbel” meaning “double,” this beer is still not so big in intensity as to surpass the Belgian-style quadrupel that is often considered its sibling.</t>
  </si>
  <si>
    <t>Brother David's DoubleAnderson Valley Brewing Co.</t>
  </si>
  <si>
    <t>Abbey DubbelElm City Brewing Co.</t>
  </si>
  <si>
    <t>DoubleAllagash Brewing Co.</t>
  </si>
  <si>
    <t>Belgian-Style Golden Strong Ale</t>
  </si>
  <si>
    <t>The Belgian-style golden strong ale is fruity, complex and often on the higher end of the ABV spectrum, yet are approachable to many different palates. Look for a characteristic spiciness from Belgian yeast and a highly attenuated dry finish. This style is traditionally drier and lighter in color than a Belgian-style tripel.</t>
  </si>
  <si>
    <t>PranqsterNorth Coast Brewing Co.</t>
  </si>
  <si>
    <t>Brooklyn Local 1Brooklyn Brewery</t>
  </si>
  <si>
    <t>Treachery12Degree Brewing</t>
  </si>
  <si>
    <t>Belgian-Style Pale Ale</t>
  </si>
  <si>
    <t>The Belgian-style pale ale is gold to copper in color and can have caramel or toasted malt flavor. The style is characterized by low but noticeable hop bitterness, flavor and aroma. These beers were inspired by British pale ales. They are very sessionable.</t>
  </si>
  <si>
    <t>Rare VosBrewery Ommegang</t>
  </si>
  <si>
    <t>Saints DevotionThe Lost Abbey</t>
  </si>
  <si>
    <t>PerditionRussian River Brewing Co.</t>
  </si>
  <si>
    <t>Belgian-Style Quadrupel</t>
  </si>
  <si>
    <t>The Belgian-style Quadrupel is amber to dark brown in color. Caramel, dark sugar and malty sweet flavors dominate, with medium-low to medium-high hop bitterness. Quads have a relatively light body compared to their alcoholic strength. If aged, oxidative qualities should be mild and not distracting. Sometimes referred to as Belgian strong dark.</t>
  </si>
  <si>
    <t>FourAllagash Brewing Co.</t>
  </si>
  <si>
    <t>The Sixth GlassBoulevard Brewing Co.</t>
  </si>
  <si>
    <t>SalvationRussian River Brewing Co.</t>
  </si>
  <si>
    <t>Belgian-Style Saison</t>
  </si>
  <si>
    <t>Beers in this category are gold to light amber in color. Often bottle-conditioned, with some yeast character and high carbonation. Belgian-style saison may have Brettanomyces or lactic character, and fruity, horsey, goaty and/or leather-like aromas and flavors. Specialty ingredients, including spices, may contribute a unique and signature character. Commonly called “farmhouse ales” and originating as summertime beers in Belgium, these are not just warm-weather treats. U.S. craft brewers brew them year-round and have taken to adding a variety of additional ingredients.</t>
  </si>
  <si>
    <t>SaisonFunkwerks</t>
  </si>
  <si>
    <t>Red BarnThe Lost Abbey</t>
  </si>
  <si>
    <t>HennepinBrewery Ommegang</t>
  </si>
  <si>
    <t>Belgian-Style Tripel</t>
  </si>
  <si>
    <t>Complex, sometimes mild spicy flavor characterizes this style. Yeast-driven complexity is common. Tripels are often on the higher end of the ABV spectrum, yet are approachable to many different palates. These beers are commonly bottle-conditioned and finish dry. The Belgian-style tripel is similar to Belgian-style golden strong ales, but are generally darker and have a more noticeable malt sweetness.</t>
  </si>
  <si>
    <t>Allagash TripelAllagash Brewing Co.</t>
  </si>
  <si>
    <t>TripelGreen Flash Brewing Co.</t>
  </si>
  <si>
    <t>PDABlack Bottle Brewery</t>
  </si>
  <si>
    <t>American Cream Ale</t>
  </si>
  <si>
    <t>Style Family: Hybrid Beers</t>
  </si>
  <si>
    <t>The American cream ale is a mild, pale, light-bodied ale, made using a warm fermentation (top or bottom fermenting yeast) and cold lagering. Despite being called an ale, when being judged in competitions it is acceptable for brewers to use lager yeast.</t>
  </si>
  <si>
    <t>El Sully21st Amendment Brewery</t>
  </si>
  <si>
    <t>Spotted CowNew Glarus Brewing Co.</t>
  </si>
  <si>
    <t>Broadway LightDetroit Beer Co.</t>
  </si>
  <si>
    <t>French-Style Biere de Garde</t>
  </si>
  <si>
    <t>Biere de Garde translates as “beer for keeping.” This style is popping up more and more from U.S. producers. Blond, amber and brown versions exist. Biere de garde examples are light amber to chestnut brown or red in color. This style is characterized by a toasted malt aroma and slight malt sweetness. Flavor of alcohol is evident. Often bottle-conditioned, with some yeast character.</t>
  </si>
  <si>
    <t>Domaine DuPageTwo Brothers Brewing Co.</t>
  </si>
  <si>
    <t>Biere De GardeSchlafly Beer, The Saint Louis Brewery</t>
  </si>
  <si>
    <t>Avant GardeThe Lost Abbey</t>
  </si>
  <si>
    <t>The California common is brewed with lager yeast but fermented at ale fermentation temperatures. There is a noticeable degree of toasted malt and/or caramel-like malt character in flavor and often in aroma. Often referred to as “steam beer” and made famous by San Francisco’s Anchor Brewing Company. Seek out woody and mint flavor from the Northern Brewer hops.</t>
  </si>
  <si>
    <t>Wagon PartyBauhaus Brew Labs</t>
  </si>
  <si>
    <t>2x SteamSouthern Tier Brewing Co.</t>
  </si>
  <si>
    <t>Steam Engine LagerSteamworks Brewing Co.</t>
  </si>
  <si>
    <t>German-Style Altbier</t>
  </si>
  <si>
    <t>Originally from the Düsseldorf area of Germany, the German-Style Altbier strikes a balance between hop and malt flavors and aromas, but can have low fruity esters and some peppery and floral hop aromas. Before Germany had lager beer, it had ales. Alt, meaning “old,” pays homage to one rebel region in Germany which did not lean into lagering. U.S. producers celebrate the ale revolution beautifully with this top-fermented German beer style.</t>
  </si>
  <si>
    <t>Deep RootsRed Cypress Brewery</t>
  </si>
  <si>
    <t>Little Red CapGrimm Brothers Brewhouse</t>
  </si>
  <si>
    <t>AltSouthampton Public House</t>
  </si>
  <si>
    <t>German-Style Kolsch</t>
  </si>
  <si>
    <t>Crisp, delicate and oh-so-drinkable, the German-style Kolsch is a beer hybrid, meaning that its production and subsequent beer drinking experience saddles qualities of both lager beers and ale beers. These light and refreshing ale-lager hybrids are perfect for warm summer days and have become a favored style by American craft brewers and beer lovers alike. In addition to their thirst quenching ability, they also are a fun beer to enjoy with food, including traditional German sausages and kraut.</t>
  </si>
  <si>
    <t>The German-style Kolsch is light in color and malt character. This style’s fermentation process yields a light, vinous character which is accompanied by a slightly dry, crisp finish. Ale yeast is used for fermentation, though lager yeast is sometimes used in the bottle or final cold-conditioning process.</t>
  </si>
  <si>
    <t>Kolsch Beer in America</t>
  </si>
  <si>
    <t>Kolsch beer stems from Cologne (Koln), Germany, but has found its way onto America’s craft beer scene like many other German beers. Technically, for beer to be called a Kolsch, it has to come from the city of Cologne, but that hasn’t stopped American craft brewers from embracing the Kolsch style of beers. Craft beer connoisseurs have been enjoying American Kolsch style beers during the warm seasons since the Kolsch was introduced to the American craft scene. This beer style pairs best with bratwurst, nutty cheeses, and even lighter desserts like apricot cake. We want to help you find a brewery that makes your next favorite Kolsch beer.</t>
  </si>
  <si>
    <t>Finding Your Next Favorite German Beer</t>
  </si>
  <si>
    <t>You don’t have to look very hard to find a Kolsch style beer that you enjoy, but we want to help you stay on top of all the small and independent breweries on the craft beer scene. We’ve created an interactive “Find a Brewery” tool to help you do precisely that. By allowing the map to use your precise location, searching for a specific brewery, or searching by state, our map will help you keep track of the breweries in your area and even find new breweries and brewpubs while you’re traveling. We want to help you find your next favorite craft beer — which could be a Kolsch style beer — and our map is designed to do that.</t>
  </si>
  <si>
    <t>Finding your next favorite Kolsch beer doesn’t have to stop here. If you enjoy the website and are interested in a convenient way to learn more about German beer, sign up to have our newsletter delivered directly to your inbox.</t>
  </si>
  <si>
    <t>Light of CologneOrnery Beer Co.</t>
  </si>
  <si>
    <t>Travelin' Light KolschLeft Hand Brewing Co.</t>
  </si>
  <si>
    <t>Summer AleAlaskan Brewing Co.</t>
  </si>
  <si>
    <t>Irish-Style Red Beer</t>
  </si>
  <si>
    <t>Irish red ale is known for its unique malty taste and is on the lower side of the bitterness and alcohol content scales. If you love American craft beer, the Irish red ale beer remains a great style for beer lovers to seek out and appreciate.</t>
  </si>
  <si>
    <t>Irish-Style Red Ale</t>
  </si>
  <si>
    <t>The Irish-style red ale is a balanced beer that uses a moderate amount of kilned malts and roasted barley in the recipe, which gives the beer the color for which it is named. Featuring an approachable hop bitterness which rests on the palate, this typically amber-colored beer is brewed as a lager or an ale, and can often have a medium, candy-like caramel malt sweetness. This style may contain adjuncts such as corn, rice, and sugar, which help dry out the beer’s finish and lessen the body. It also often contains roasted barley, lending low roasted notes, darker color and possible creation of a tan collar of foam on top. With notes of caramel, toffee and sometimes low-level diacetyl (butter), think of the Irish red ale beer style as a cousin to lightly-toasted and buttered bread.</t>
  </si>
  <si>
    <t>America’s Version of Irish Red Ale Beer</t>
  </si>
  <si>
    <t>Irish-style red ales are an approachable style for people who are new to craft beer, but are also enjoyed and appreciated by even the most discerning of craft connoisseurs. Don’t let these tasty, sessionable beers be relegated to a once-a-year holiday, Irish style reds can be enjoyed throughout the year in a variety of occasions and with a lot of different food options.</t>
  </si>
  <si>
    <t>American Craft Breweries Serving Irish Red Ale</t>
  </si>
  <si>
    <t>It’s no secret that Irish beers have played an influential role in the American craft beer scene, and that’s apparent through the Irish red ale beer. It can be challenging to keep up with all of the Irish beer reinventions, and that is why we’ve created an interactive “Find a Brewery” map. The map will help you find small and independent U.S. craft breweries near you; some of those breweries and brewpubs are likely making variations of red ale beer.</t>
  </si>
  <si>
    <t>Finding your next favorite Irish red ale beer doesn’t have to stop here. If you enjoy the website and are interested in a convenient way to learn more about Irish red beer, sign up to have our newsletter delivered directly to your inbox. We can’t send you beer, but we can send you our newsletter, which is almost as good.</t>
  </si>
  <si>
    <t>St. James Irish Red AleGlenwood Canyon Brewpub</t>
  </si>
  <si>
    <t>Conway's Irish AleGreat Lakes Brewing Co.</t>
  </si>
  <si>
    <t>Brian Boru Old Irish AleThree Floyds Brewing</t>
  </si>
  <si>
    <t>American Imperial Porter</t>
  </si>
  <si>
    <t>Style Family: Porters</t>
  </si>
  <si>
    <t>Definitively American, the imperial porter should have no roasted barley flavors or strong burnt/black malt character. Medium caramel and cocoa-like sweetness is present, with complementing hop character and malt-derived sweetness.</t>
  </si>
  <si>
    <t>Northstar Imperial PorterTwisted Pine Brewing Co.</t>
  </si>
  <si>
    <t>Imperial PorterLong Trail Brewing Co.</t>
  </si>
  <si>
    <t>Imperial PorterShipyard Brewing Co.</t>
  </si>
  <si>
    <t>Baltic-Style Porter</t>
  </si>
  <si>
    <t>The Baltic-style Porter is a smooth, cold-fermented and cold-lagered beer brewed with lager yeast. Because of its alcoholic strength, it may include very low to low complex alcohol flavors and/or lager fruitiness such as berries, grapes and plums (but not banana; ale-like fruitiness from warm-temperature fermentation is not appropriate). This style has the malt flavors of a brown porter and the roast of a schwarzbier, but is bigger in alcohol and body.</t>
  </si>
  <si>
    <t>The Duck-Rabbit Baltic PorterDuck Rabbit Craft Brewery</t>
  </si>
  <si>
    <t>Smuttynose Baltic PorterSmuttynose Brewing Company</t>
  </si>
  <si>
    <t>Siberian SilkLa Cumbre Brewing Co.</t>
  </si>
  <si>
    <t>English-Style Brown Porter</t>
  </si>
  <si>
    <t>The English-style brown porter has no roasted barley or strong burnt/black malt character. Low to medium malt sweetness, caramel and chocolate is acceptable. Hop bitterness is medium. Softer, sweeter and more caramel-like than a robust porter, with less alcohol and body. Porters are the precursor style to stouts.</t>
  </si>
  <si>
    <t>Old Tom PorterPiney River Brewing Co.</t>
  </si>
  <si>
    <t>Pluff Mud PorterHoly City Brewing Co.</t>
  </si>
  <si>
    <t>PorterBack East Brewing Co.</t>
  </si>
  <si>
    <t>Robust Porter</t>
  </si>
  <si>
    <t>The Robust Porter features more bitter and roasted malt flavor than a brown porter, but not quite as much as a stout. Robust porters have a roast malt flavor, often reminiscent of cocoa, but no roast barley flavor. Their caramel and malty sweetness is in harmony with the sharp bitterness of black malt. Hop bitterness is evident. With U.S. craft brewers doing so much experimentation in beer styles and ingredients, the lines between certain stouts and porters are often blurred. Yet many deliberate examples of these styles do exist. Diacetyl is acceptable at very low levels.</t>
  </si>
  <si>
    <t>Pig Iron PorterIron Hill Brewery &amp; Restaurant</t>
  </si>
  <si>
    <t>Moonlight PorterRock Bottom Restaurant &amp; Brewery</t>
  </si>
  <si>
    <t>Black Butte PorterDeschutes Brewery</t>
  </si>
  <si>
    <t>Smoke Porter</t>
  </si>
  <si>
    <t>Typically the base for the smoke porter beer style is a robust porter that is given smoky depth thanks to wood-smoked malt. Traditionally, brewers will cite the specific wood used to smoke the malt, and different woods will lend different flavors to the finished product. Smoke flavors dissipate over time.</t>
  </si>
  <si>
    <t>Smoked PorterAlaskan Brewing Co.</t>
  </si>
  <si>
    <t>Smoked PorterStone Brewing Co.</t>
  </si>
  <si>
    <t>Smoked PorterEpic Brewing Co.,</t>
  </si>
  <si>
    <t>American Imperial Stout</t>
  </si>
  <si>
    <t>Style Family: Stouts</t>
  </si>
  <si>
    <t>The American-style imperial stout is the strongest in alcohol and body of the stouts. Black in color, these beers typically have an extremely rich malty flavor and aroma with full, sweet malt character. Bitterness can come from roasted malts or hop additions.</t>
  </si>
  <si>
    <t>Expedition StoutBell's Brewery</t>
  </si>
  <si>
    <t>Old Rasputin Imperial StoutNorth Coast Brewing Co.</t>
  </si>
  <si>
    <t>The Russian2SP Brewing Co.</t>
  </si>
  <si>
    <t>American stout beer is perhaps one of the most identifiable creations of the American beer world. Stout beer is about as dark of an American beer as can be, and has a very noticeable of appearance, aroma and flavor. As one of the thicker, darker American beers on the craft beer scene, American stout beer is perfect for the colder seasons.</t>
  </si>
  <si>
    <t>Strikingly bold and undeniably beautiful, the American stout beer style blends generous amounts of dark malts with American hops to offer an adventurous experience that is unmatched by other styles of beer. Are you afraid of the dark? When it comes to American stout, don’t be. Allow your senses to run wild with this deceivingly sophisticated take on a European staple.</t>
  </si>
  <si>
    <t>Stout Beer in America</t>
  </si>
  <si>
    <t>Like many other beer styles that have become prized by American brewers and beer lovers alike, American stout is a distinct variant of a European stout beer counterpart. True to style, American stouts showcase generous quantities of the American hops fans have come to expect, and much like other stout beer types, American stout can be enjoyed year-round but is commonly considered a beer for the fall or winter months. The stout is a terrific companion to bold, hearty foods. Look for hearty game meats, as well as soups and strong cheeses to be particularly suitable for pairing for American stouts, in addition to a variety of after-dinner desserts.</t>
  </si>
  <si>
    <t>Finding Your Next American Stout Beer</t>
  </si>
  <si>
    <t>Reading about American stout is great, but we encourage you to seek out the style at a local brewery. Take advantage of our “Find a Brewery” map to discover a small and independent brewery near you to try your first, or next, American stout.</t>
  </si>
  <si>
    <t>If you enjoy the website and are interested in a convenient way to learn more about American beer, sign up to have our newsletter delivered directly to your inbox.</t>
  </si>
  <si>
    <t>Shakespeare StoutRogue Ales</t>
  </si>
  <si>
    <t>Obsidian StoutDeschutes Brewery</t>
  </si>
  <si>
    <t>Black CliffsBoise Brewing</t>
  </si>
  <si>
    <t>English-Style Oatmeal Stout</t>
  </si>
  <si>
    <t>The addition of oatmeal adds a smooth, rich body to the oatmeal stout. This beer style is dark brown to black in color. Roasted malt character is caramel-like and chocolate-like, and should be smooth and not bitter. Coffee-like roasted barley and malt aromas are prominent. This low- to medium-alcohol style is packed with darker malt flavors and a rich and oily body from oatmeal.</t>
  </si>
  <si>
    <t>Stagecoach StoutFigueroa Mountain Brewing Co.</t>
  </si>
  <si>
    <t>Back Road StoutMillstream Brewing Co.</t>
  </si>
  <si>
    <t>Velvet MerlinFirestone Walker Brewing Co.</t>
  </si>
  <si>
    <t>English-Style Sweet Stout (Milk Stout)</t>
  </si>
  <si>
    <t>Sweet stout, also referred to as cream stout or milk stout, is black in color. Malt sweetness, chocolate and caramel should dominate the flavor profile and contribute to the aroma. It also should have a low to medium-low roasted malt/barley-derived bitterness. Milk sugar (lactose) lends the style more body. This beer does use lactose sugar, so people with an intolerance should probably avoid this style.</t>
  </si>
  <si>
    <t>Milk StoutLeft Hand Brewing Co.</t>
  </si>
  <si>
    <t>Udder LoveBeachwood Brewery &amp; BBQ</t>
  </si>
  <si>
    <t>Samuel Adams Cream StoutBoston Beer Co.</t>
  </si>
  <si>
    <t>Irish-Style Dry Stout</t>
  </si>
  <si>
    <t>Dry stout is black beer with a dry-roasted character thanks to the use of roasted barley. The emphasis on coffee-like roasted barley and a moderate degree of roasted malt aromas define much of the character. Hop bitterness is medium to medium high. This beer is often dispensed via nitrogen gas taps that lend a smooth, creamy body to the palate.</t>
  </si>
  <si>
    <t>Blarney Sisters Dry Irish StoutThird Street Aleworks</t>
  </si>
  <si>
    <t>Seaside StoutPizza Port Brewing Co.</t>
  </si>
  <si>
    <t>O.V.L. StoutRussian River Brewing Co.</t>
  </si>
  <si>
    <t>German-Style Bock</t>
  </si>
  <si>
    <t>Style Family: Bocks</t>
  </si>
  <si>
    <t>Traditional bock beers are all-malt brews and are high in malt sweetness. Malt character should be a balance of sweetness and toasted or nut-like malt. “Bock” translates as “goat”!</t>
  </si>
  <si>
    <t>Troegenator Double BockTroegs Brewing Co.</t>
  </si>
  <si>
    <t>Butt Head BockTommyknocker Brewery &amp; Pub</t>
  </si>
  <si>
    <t>Rockefeller BockGreat Lakes Brewing Co.</t>
  </si>
  <si>
    <t>German-Style Doppelbock</t>
  </si>
  <si>
    <t>“Doppel” meaning “double,” this style is a bigger and stronger version of the lower-gravity German-style bock beers. Originally made by monks in Munich, the doppelbock beer style is very food-friendly and rich in melanoidins reminiscent of toasted bread. Color is copper to dark brown. Malty sweetness is dominant but should not be cloying. Malt character is more reminiscent of fresh and lightly toasted Munich-style malt, more so than caramel or toffee malt. Doppelbocks are full-bodied, and alcoholic strength is on the higher end.</t>
  </si>
  <si>
    <t>Samuel Adams Double BockBoston Beer Co.</t>
  </si>
  <si>
    <t>Uber BockGreat Dane Pub &amp; Brewing Co.</t>
  </si>
  <si>
    <t>ConsecratorBell's Brewery, Inc.</t>
  </si>
  <si>
    <t>German-Style Maibock</t>
  </si>
  <si>
    <t>Also called “heller bock” (meaning “pale bock”), the German-style Maibock is paler in color and more hop-centric than traditional bock beers. A lightly toasted and/or bready malt character is often evident.</t>
  </si>
  <si>
    <t>Elixir MaibockAbita Brewery</t>
  </si>
  <si>
    <t>MaibockMad Fox Brewing Co.</t>
  </si>
  <si>
    <t>MaibockSmuttynose Brewing Co.</t>
  </si>
  <si>
    <t>German-Style Weizenbock</t>
  </si>
  <si>
    <t>The German-style Weizenbock is a wheat version of a German-style bock, or a bigger and beefier dunkelweizen. Malt mellanoidins and weizen ale yeast are the star ingredients. If served with yeast, the appearance may appropriately be very cloudy. With flavors of bready malt and dark fruits like plum, raisin, and grape, this style is low on bitterness and high on carbonation. Balanced clove-like phenols and fruity, banana-like esters produce a well-rounded aroma.</t>
  </si>
  <si>
    <t>Glockenspiel WeizenbockGreat Lakes Brewing Co.</t>
  </si>
  <si>
    <t>MoonglowVictory Brewing Co.</t>
  </si>
  <si>
    <t>WeizenbockAleSmith Brewing Co.</t>
  </si>
  <si>
    <t>Scotch Ale/Wee Heavy</t>
  </si>
  <si>
    <t>Style Family: Scottish-Style Ales</t>
  </si>
  <si>
    <t>The Scotch ale is overwhelmingly malty, with a rich and dominant sweet malt flavor and aroma. A caramel character is often part of the profile. Some examples feature a light smoked peat flavor. This style could be considered the Scottish version of an English-style barley wine. Overly smoked versions would be considered specialty examples.</t>
  </si>
  <si>
    <t>Wee HeavyDry Dock Brewing Co.</t>
  </si>
  <si>
    <t>Way HeavyPizza Port Brewing Co.</t>
  </si>
  <si>
    <t>Real HeavyReal Ale Brewing Co.</t>
  </si>
  <si>
    <t>Scottish-Style Ale</t>
  </si>
  <si>
    <t>Scottish-style ales vary depending on strength and flavor, but in general retain a malt-forward character with some degree of caramel-like malt flavors and a soft and chewy mouthfeel. Some examples feature a light smoked peat flavor. Hops do not play a huge role in this style. The numbers commonly associated with brands of this style (60/70/80 and others) reflect the Scottish tradition of listing the cost, in shillings, of a hogshead (large cask) of beer. Overly smoked versions would be considered specialty examples.</t>
  </si>
  <si>
    <t>Scottish AleCampbell Brewing Co.</t>
  </si>
  <si>
    <t>Wee HeavyMaui Brewing Co.</t>
  </si>
  <si>
    <t>Taildragger Clan-DestineSaddle Mountain Brewing Co.</t>
  </si>
  <si>
    <t>American Brett</t>
  </si>
  <si>
    <t>Style Family: Wild/Sour Beers</t>
  </si>
  <si>
    <t>These unique beers vary in color and can take on the hues of added fruits or other ingredients. Horsey, goaty, leathery, phenolic and some fruity acidic character derived from Brettanomyces organisms may be evident, but in balance with other components of an American Brett beer. Brett beer and sour beer are not synonymous. Despite Brettanomyces presents in sour beer, American Bret beers do not exhibit the level of sour taste that sour beers do, thus, Brett beers should not be mistaken for a sour beer.</t>
  </si>
  <si>
    <t>Touch of BrettAlesong Brewing &amp; Blending</t>
  </si>
  <si>
    <t>SanctificationRussian River Brewing Company</t>
  </si>
  <si>
    <t>Brett SaisonArdent Craft Ales</t>
  </si>
  <si>
    <t>American Sour</t>
  </si>
  <si>
    <t>The acidity present in sour beer is usually in the form of lactic, acetic and other organic acids naturally developed with acidified malt in the mash, or produced during fermentation by the use of various microorganisms. These beers may derive their sour flavor from pure cultured forms of souring agents or from the influence of barrel aging.</t>
  </si>
  <si>
    <t>Ching ChingBend Brewing Co.</t>
  </si>
  <si>
    <t>Le Petite PrinceJester King Brewery</t>
  </si>
  <si>
    <t>Queen of TartsKarl Strauss Brewing Co.</t>
  </si>
  <si>
    <t>Belgian-Style Flanders</t>
  </si>
  <si>
    <t>The Belgian-style Flanders is an ale with character and balance, thanks to lactic sourness and acetic acid. Cherry-like flavors are acceptable, as is malt sweetness that can lend bitterness and a cocoa-like character. Oak or other wood-like flavors may be present, even if the beer was not aged in barrels. Overall, the style is characterized by slight to strong lactic sourness, and Flanders reds sometimes include a balanced degree of acetic acid. Brettanomyces-produced flavors may be absent or very low. This style is a marvel in flavor complexity, combining malt, yeast, microorganisms, acidity and low astringency from barrel aging.</t>
  </si>
  <si>
    <t>EnigmaNew Glarus Brewing</t>
  </si>
  <si>
    <t>Oud TartThe Bruery</t>
  </si>
  <si>
    <t>La FolieNew Belgium Brewing Co.</t>
  </si>
  <si>
    <t>Belgian-Style Fruit Lambic</t>
  </si>
  <si>
    <t>Often known as cassis, framboise, kriek, or peche, a fruit lambic takes on the color and flavor of the fruit it is brewed with. It can be dry or sweet, clear or cloudy, depending on the ingredients. Notes of Brettanomyces yeast are often present at varied levels. Sourness is an important part of the flavor profile, though sweetness from fruit may diminish the perceived intensity. These flavored lambic beers may be very dry or mildly sweet.</t>
  </si>
  <si>
    <t>Cherry LambicUpland Brewing Co.</t>
  </si>
  <si>
    <t>Coolship RedAllagash Brewing Co.</t>
  </si>
  <si>
    <t>HexoticTwo Roads Brewing Co.</t>
  </si>
  <si>
    <t>Belgian-Style Lambic/Gueuze</t>
  </si>
  <si>
    <t>Belgian-style Lambic or Gueuze beers are naturally and spontaneously fermented with high to very high levels of esters, plus bacterial and yeast-derived sourness that sometimes includes acetic flavors. Lambics are not blended, while the gueuze style blends old and new lambics which are re-fermented in the bottle. Historically, they are dry and completely attenuated, exhibiting no residual sweetness either from malt, sugar or artificial sweeteners. Sweet versions may be created through the addition of sugars or artificial sweeteners. Many examples of this style are made to resemble the gueuze lambic beers of the Brussels area, where it originated.</t>
  </si>
  <si>
    <t>American Blackberry SourNew Glarus Brewing</t>
  </si>
  <si>
    <t>Sour ReserveUpland Brewing Co.</t>
  </si>
  <si>
    <t>SupplicationRussian River Brewing Co.</t>
  </si>
  <si>
    <t>Contemporary Gose</t>
  </si>
  <si>
    <t>Straw to medium amber, the contemporary Gose is cloudy from suspended yeast. A wide variety of herbal, spice, floral or fruity aromas other than found in traditional Leipzig-Style Gose are present, in harmony with other aromas. Salt (table salt) character is traditional in low amounts, but may be perceptible in varying intensities. Body is low to medium-low. Low to medium lactic acid character is evident in all examples as sharp, refreshing sourness.</t>
  </si>
  <si>
    <t>Old Pro GoseUnion Craft Brewing</t>
  </si>
  <si>
    <t>The Kimmie, The Yink &amp; The Holy GoseAnderson Valley Brewing Co.</t>
  </si>
  <si>
    <t>GoseWestbrook Brewing Co.</t>
  </si>
  <si>
    <t>Common Hop Ingredients</t>
  </si>
  <si>
    <t>Style Family: Pilseners and Pale Lagers</t>
  </si>
  <si>
    <t>American lager has little in the way of hop and malt character. A straw to gold, very clean and crisp, highly carbonated lager.</t>
  </si>
  <si>
    <t>The CrispSixpoint Brewing</t>
  </si>
  <si>
    <t>Two WomenNew Glarus Brewing Co.</t>
  </si>
  <si>
    <t>Luchesa LagerOasis Texas Brewing Co.</t>
  </si>
  <si>
    <t>Water Type</t>
  </si>
  <si>
    <t>Bohemian-Style Pilsener</t>
  </si>
  <si>
    <t>The Bohemian pilsener has a slightly sweet and evident malt character and a toasted, biscuit-like, bready malt character. Hop bitterness is perceived as medium with a low to medium-low level of noble-type hop aroma and flavor. This style originated in 1842, with “pilsener” originally indicating an appellation in the Czech Republic. Classic examples of this style used to be conditioned in wooden tanks and had a less sharp hop bitterness despite the similar IBU ranges to German-style pilsner. Low-level diacetyl is acceptable. Bohemian-style pilseners are darker in color and higher in final gravity than their German counterparts.</t>
  </si>
  <si>
    <t>Bohemian PilsenerNinkasi Brewing Co.</t>
  </si>
  <si>
    <t>Mama’s Little Yella PilsOskar Blues</t>
  </si>
  <si>
    <t>Sweet RideBagby Beer Co.</t>
  </si>
  <si>
    <t>European-Style Export</t>
  </si>
  <si>
    <t>Sometimes referred to as a “Dortmunder export,” the European-Style Export has the malt-forward flavor and sweetness of a German-style helles, but the bitter base of a German-style pilsener. This lager is all about balance, with medium hop character and firm but low malt sweetness. Look for toasted malt flavors and spicy floral hop aromas.</t>
  </si>
  <si>
    <t>Dortmunder GoldGreat Lakes Brewing Co.</t>
  </si>
  <si>
    <t>LagerBell's Brewery Inc.</t>
  </si>
  <si>
    <t>Dortmunder MifflinEmmett's Tavern &amp; Brewing Co.</t>
  </si>
  <si>
    <t>German-Style Helles</t>
  </si>
  <si>
    <t>A beer for beer lovers, the German-style helles is a malt accented lager beer that balances a pleasant malt sweetness and body with floral Noble hops and restrained bitterness. The helles is a masterclass in restraint, subtly and drinkability which makes it an enduring style for true beer lovers and an elusive style for craft brewers to recreate. The German helles reminds beer lovers that the simple things in life are usually the most rewarding and worth pursuing.</t>
  </si>
  <si>
    <t>“Helles” means “pale in color,” as these beers are often golden. The German-style helles lager is a bit rounder or fuller-bodied than light lager and even all-malt pilsners. Helles lager beers offer a touch of sweetness that balance a measurable addition of spicy German hop flavor and light bitterness. The malt character is soft and bready, making it a terrific complement to light dishes such as salad or fresh shellfish, like clams. Clean and crisp, this is a refreshing beer with substance. Low levels of yeast-produced sulfur aromas and flavors may be common.</t>
  </si>
  <si>
    <t>A Classic German Beer</t>
  </si>
  <si>
    <t>While the German helles is highly versatile for pairing with food, helles lager is designed for refreshment and makes for the ideal beer on a hot day. Today, small and independent craft brewers offer their own takes on this classic German beer, many following the German tradition exactly, including German malts, spicy German hops and expertly controlled fermentation, offering a balanced yet subtly sweet lager beer. Others have added their own American twist on the helles variety by adding American hops and making this lager beer available in aluminum cans so beer lovers can enjoy this style while out and about. If you have not had the pleasure of tasting and appreciating this beer brewed for beer lovers, do yourself a favor and seek out a brewery near you that offers the style as a taproom option. You won’t be sorry.</t>
  </si>
  <si>
    <t>Helping You Find Your New Favorite German Helles</t>
  </si>
  <si>
    <t>We’ve assembled an interactive “Find a Brewery” map to help you keep track of all of the breweries and brewpubs near you, and some of those craft breweries are likely making helles beer. By allowing the map to use your specific location, searching by state or searching for a specific brewery, we want to help you find your next favorite craft beer, which could be a helles beer.</t>
  </si>
  <si>
    <t>If you enjoy the website and are interested in a convenient way to learn more about German beer, sign up to have our newsletter delivered directly to your inbox.</t>
  </si>
  <si>
    <t>HellesDry Dock Brewing Co.</t>
  </si>
  <si>
    <t>Helles LagerVictory Brewing Co.</t>
  </si>
  <si>
    <t>Hell YesThe Austin Beer Garden Brewing Co.</t>
  </si>
  <si>
    <t>German-Style Pilsner</t>
  </si>
  <si>
    <t>Quite possibly the most iconic beer style in modern history, the pilsner captured the attention of beer drinkers across the world and inspired a myriad of regional imitations. This lightly colored, exquisitely balanced lager remains one of the most loved beers to enjoy, and one of the most challenging for the brewer to create. Pilsner are characteristically light in color and have a very short finish. The world over, pilsner -style lagers have become the standard beer for many reasons, and American craft brewers have worked hard to put their own unique spin on this classic German beer.</t>
  </si>
  <si>
    <t>German-Style Pilsner Beer</t>
  </si>
  <si>
    <t>A classic German-style pilsner is straw to pale in color with a malty sweetness that can be perceived in aroma and flavor. Perception of hop bitterness is medium to high. Noble-type hop aroma and flavor are moderate and quite obvious. Distinctly different from the Bohemian-style pilsner , this style is lighter in color and body and has a lower perceived hop bitterness.</t>
  </si>
  <si>
    <t>German Pilsner Lager in America</t>
  </si>
  <si>
    <t>German pilsner lagers have a rich history in the United States. Some of the first breweries in the United States were started in the 1800s by German immigrants and specialized in brewing pilsner beer. Since then, American craft brewers have continued to experiment with the classic style pils. Like other German beers, pilsner lager’s crisp finish makes for a refreshing beer during the warmer months of the year. We want to help you find the next pilsener beer to keep you refreshed on a hot summer day.</t>
  </si>
  <si>
    <t>Helping You Find Your Next Pilsner Beer</t>
  </si>
  <si>
    <t>American craft brewers have worked hard to create their own versions of pilsner beers over the years. If you are a big fan of pilsner , we want to help you find nearby breweries where you can try all the new pilsner beers on the craft scene. Our “Find a Brewery” tool is designed to lead you to breweries and brewpubs near you that carry the beer variety you desire. By entering your precise location, searching for a brewery, or searching by state, we can help you find your next favorite place to grab a pilsner or another German beer.</t>
  </si>
  <si>
    <t>If you enjoy the website and are interested in a convenient way to learn more about German beer, sign up to have our newsletter delivered directly to your inbox. We can’t send you any pilsner lagers, but we can send you our newsletter, which is almost as fun.</t>
  </si>
  <si>
    <t>Pivo PilsFirestone Walker Brewing Co.</t>
  </si>
  <si>
    <t>Paintbrush PilsenerSnake River Brewing Co.</t>
  </si>
  <si>
    <t>Prima PilsVictory Brewing Co.</t>
  </si>
  <si>
    <t>American Black Ale</t>
  </si>
  <si>
    <t>Style Family: Specialty Beers</t>
  </si>
  <si>
    <t>The American black ale is characterized by the perception of caramel malt and dark roasted malt flavor and aroma. Hop bitterness is perceived to be medium-high to high. Hop flavor and aroma are medium-high. Fruity, citrus, piney, floral and herbal character from hops of all origins may contribute to the overall experience. This beer is often called a black IPA or Cascadian dark ale.</t>
  </si>
  <si>
    <t>Wookey JackFirestone Walker Brewing Co.</t>
  </si>
  <si>
    <t>Back in Black21st Amendment Brewery</t>
  </si>
  <si>
    <t>Once You GoLynnwood Brewing Concern</t>
  </si>
  <si>
    <t>Barrel-Aged Beer</t>
  </si>
  <si>
    <t>A wood- or barrel-aged beer is any lager, ale or hybrid beer, either a traditional style or a unique experimental beer, that has been aged for a period of time in a wooden barrel or in contact with wood. This beer is aged with the intention of imparting the unique character of the wood and/or the flavor of what has previously been in the barrel. Beer may be aged in wooden barrels (new or previously used to age wine or spirits), or chips, spirals and cubes may be added to the conditioning tanks that normally house beer. A variety of types of wood are used including oak, apple, alder, hickory and more. The interior of most barrels is charred or toasted to further enhance the flavor of the wood.</t>
  </si>
  <si>
    <t>Drama QueenDenver Beer Co.</t>
  </si>
  <si>
    <t>Barrel Aged Sump Coffee StoutPerennial Beer Co.</t>
  </si>
  <si>
    <t>DBAFirestone Walker Brewing Co.</t>
  </si>
  <si>
    <t>Chocolate Beer</t>
  </si>
  <si>
    <t>Few flavors are as universally celebrated as chocolate. From ancient civilizations who drank fermented chocolate to rich, decadent and refined chocolate desserts, the cultural significance of chocolate cannot be understated. Like chocolate, beer too is a celebrated, versatile tradition that spans the globe. American craft brewers have embraced the combination of both with a variety of different approaches and applications to create chocolate flavored beers. While many beers showcase chocolatey flavors without actually having chocolate as an ingredient, chocolate beers use the ingredient itself to offer a uniquely balanced beer experience that can be appreciated by beer connoisseurs and those with sweet tooths alike.</t>
  </si>
  <si>
    <t>Chocolate beer can be an ale or lager that benefits from the addition of any type of chocolate or cocoa. Traditionally added to porters, stouts and brown ales, where the grain bill better complements the confectionery ingredient, it can be added to other styles as well. Chocolate character can range from subtle to overt, but any chocolate beer is generally expected to offer some balance between beer and bon-bon. The style can vary greatly in approach as well as flavor profile depending on the brewer.</t>
  </si>
  <si>
    <t>Chocolate Flavored Beer in America</t>
  </si>
  <si>
    <t>Known for innovation and pushing boundaries, craft brewers have never met an ingredient they didn’t like, or at least an ingredient they didn’t believe could be expressed in a beer. Chocolate flavored beers offer beer lovers a chance to taste just how versatile craft brewers can be. The use of chocolate in chocolate beers offers yet another example of craft beers culinary compatibility, whether as a pairing or show-stopping course all in itself, a well-crafted chocolate flavored beer is a game changer even for those who don’t generally gravitate towards beer.</t>
  </si>
  <si>
    <t>While stouts and porters are the most complementary styles to embrace the addition of chocolate, chocolate beers need not stick to the script. Chocolate can be added to all types of beer styles, even beers as light as pale ales. The key for any flavored beer is that the ingredients and flavors it presents are balanced well with the base style of beer. Chocolate flavored beer may seem like an odd concept, but any beer or chocolate lover owes it to themself to give chocolate beer a try.</t>
  </si>
  <si>
    <t>Helping You Find Your Next Chocolate Flavored Beer</t>
  </si>
  <si>
    <t>On the hunt for an American craft brewer that offers a chocolate flavored beer? We want to help you find your first or new favorite. Whether you have a craft beer or chocolate fascination, our “Find a Brewery” map is designed to meet your needs.</t>
  </si>
  <si>
    <t>Finding your first or next favorite beer doesn’t have to stop here. If you are interested in a convenient way to learn more about chocolate beer, or any other kind of beer, sign up to have our newsletter delivered directly to your inbox.</t>
  </si>
  <si>
    <t>Chocolate Oak Aged Imperial Yeti StoutGreat Divide Brewing Co.</t>
  </si>
  <si>
    <t>Brooklyn Black Chocolate StoutBrooklyn Brewery</t>
  </si>
  <si>
    <t>The Ticket Chocolate BeerZwanzigZ Brewing</t>
  </si>
  <si>
    <t>Coffee Beer</t>
  </si>
  <si>
    <t>If you had to combine two beverages that Americans love, you would have coffee beer. Craft breweries across the United States have zealously embraced coffee flavored beer. The creations that have resulted from experimenting with the combination of some of the oldest beverages in the world have caught the attention of craft beer lovers everywhere.</t>
  </si>
  <si>
    <t>Coffee beer can be either a lager beer or an ale beer, with coffee added to boost flavor. While stouts and porters are popular base styles for coffee beer, many craft breweries are experimenting with other styles, like cream ales and India pale ales. Brewers may steep the beans in either water or beer to impart java flavor while taking care to avoid the addition of too much acidity. As with any beer, the addition of an ingredient can have a drastic effect on the flavor — but striking a balance is often the goal of brewers.</t>
  </si>
  <si>
    <t>Warming Up with Coffee Beer</t>
  </si>
  <si>
    <t>Coffee is a versatile ingredient in beer, and lends a smooth roasted flavor to just about any style, from stouts and porters to pale ales and even sour beers. You can look to pair coffee flavored beers with a wide variety of different foods. Desserts might be an obvious choice, after all, — who wouldn’t enjoy a piece of pecan pie cheesecake alongside a smooth, rich coffee oatmeal stout? Despite how well it pairs with sweeter dishes, there is no reason a coffee beer couldn’t be an excellent companion to a charcoal grilled rib-eye steak at your next cookout. This beer style also makes a nice partner when paired with aged semi-hard cheeses when you’re entertaining.</t>
  </si>
  <si>
    <t>Pointing You in the Direction of Coffee Flavored Beer</t>
  </si>
  <si>
    <t>Finding your next favorite beer doesn’t have to stop here. CraftBeer.com’s “Find a Brewery” map is designed to help you find small and independent craft breweries near you. Giving you the option to search for breweries by location, desired brewery name, or state, finding breweries and brewpubs closest to your location could lead you to your next favorite beer, which could be a coffee flavored beer.</t>
  </si>
  <si>
    <t>If you enjoy the website and are interested in a convenient way to learn more about coffee flavored beer, which foods pair best with these beers, or any other beer style, sign up to have our newsletter delivered directly to your inbox.</t>
  </si>
  <si>
    <t>Big Bad BaptistEpic Brewing Co.</t>
  </si>
  <si>
    <t>Speedway StoutAleSmith Brewing Co.</t>
  </si>
  <si>
    <t>Gusto CremaGeorgetown Brewing Co.</t>
  </si>
  <si>
    <t>Fruit and Field Beer</t>
  </si>
  <si>
    <t>Fruit beer is made with fruit, or fruit extracts that are added during any portion of the brewing process, providing obvious yet harmonious fruit qualities. This idea is expanded to “field beers” that utilize vegetables and herbs.</t>
  </si>
  <si>
    <t>Apricot Cream AleVertigo Brewing</t>
  </si>
  <si>
    <t>Ruby Raspberry WheatMad Anthony Brewing Co.</t>
  </si>
  <si>
    <t>Elektrik CukumbahTrinity Brewing Co.</t>
  </si>
  <si>
    <t>Gluten-Free Craft Beer</t>
  </si>
  <si>
    <t>If you are one of the 2 million Americans who suffer from celiac disease, trying craft beers may seem impossible, or at least challenging. But with the growing interest in gluten-free options, many people have found that they no longer have to miss out on enjoying craft beer. Many brewers have recognized the desire for gluten-free customers to enjoy their beer without the concern of ingesting gluten, leading many craft brewers to utilize alternative grains during the brewing process that do not contain gluten. Dedicated gluten-free breweries have also found success catering to people dealing with gluten intolerance as well as health-minded beer drinkers who choose to follow a gluten-reduced or gluten-free diet, but don’t want to give up their favorite beverage.</t>
  </si>
  <si>
    <t>Gluten-Free Beer</t>
  </si>
  <si>
    <t>Barley, wheat, oats, rye and spelt are the ingredients that most breweries use to brew the beers that the world has come to love. These ingredients commonly contain gluten, so people who suffer from celiac disease must look for other fermentables to be featured in gluten-free beer. Many craft breweries who make gluten-free beers have turned to malted sorghum and buckwheat, which are grains that do not contain gluten to brew beers for their gluten-averse customers.</t>
  </si>
  <si>
    <t>Gluten-Free Craft Beers in America</t>
  </si>
  <si>
    <t>People have dealt with the effects of celiac disease since the mid-1800s, but the grains responsible for the condition weren’t discovered until the 1940s. Brewers began brewing craft beers in the United States in the mid-1960s, and that path has eventually led to the creation of gluten-free craft beers. Several craft brewers across the United States have brewed reduced-gluten and gluten-free craft beers so that everyone of age can be a part of the craft beer community.</t>
  </si>
  <si>
    <t>Leading You to Your Next Gluten-Free Craft Beer</t>
  </si>
  <si>
    <t>Even with the progress the craft beer community has made toward including the gluten-free community, gluten-free beer can still be a difficult thing to find at times. As a solution to this, we’ve created an interactive “Find a Brewery” map to help you find breweries and brewpubs, and some of those craft breweries do serve gluten-free beers. Our map allows you to enter your specific location, search for a particular brewery, or search for a brewery by state. We want to do our part to keep the craft beer community as tight as we can and helping you find new places to try the craft beers that you love is a large part of that.</t>
  </si>
  <si>
    <t>Finding your next favorite gluten-free craft beer doesn’t have to stop here. If you enjoy the website and are interested in a convenient way to learn more about gluten-free beer, sign up to have our newsletter delivered directly to your inbox.</t>
  </si>
  <si>
    <t>Gluten FreeDeschutes Brewing Co.</t>
  </si>
  <si>
    <t>Nikki's Gluten Free Honey Pale AleRock Bottom Restaurant &amp; Brewery</t>
  </si>
  <si>
    <t>CopperheadGreenview Brewing</t>
  </si>
  <si>
    <t>Herb and Spice Beer</t>
  </si>
  <si>
    <t>An herb and spice beer is a lager or ale that contains flavors derived from flowers, roots, seeds or certain fruits or vegetables. Typically the hop character is low, allowing the added ingredient to shine through. The appearance, mouthfeel and aromas vary depending on the herb or spice used. This beer style encompasses innovative examples as well as traditional holiday and winter ales.</t>
  </si>
  <si>
    <t>NoDajitoNoDa Brewing Co.</t>
  </si>
  <si>
    <t>Midas TouchDogfish Head Brewing Co.</t>
  </si>
  <si>
    <t>Good JujuLeft Hand Brewing Co.</t>
  </si>
  <si>
    <t>Honey Beer</t>
  </si>
  <si>
    <t>Both lagers and ales can be brewed with honey. Some brewers will choose to experiment with ingredients, while others will add honey to traditional styles. Overall the character of honey should be evident but not totally overwhelming. A wide variety of honey beers are available. U.S. brewers may add honey to the boil kettle (as a sugar source) or post-boil (to preserve more volatile aromatics).</t>
  </si>
  <si>
    <t>Jetty Cream AleGreat South Bay Brewery</t>
  </si>
  <si>
    <t>Westbound BraggotTwisted Pine Brewing Co.</t>
  </si>
  <si>
    <t>Midas TouchDogfish Head Craft Brewery</t>
  </si>
  <si>
    <t>Pumpkin Beer</t>
  </si>
  <si>
    <t>Nothing says fall quite like pumpkins and beer, and American craft breweries have done a superb job of combining the two. It’s tough to find anything that hasn’t been “pumpkin spiced,” and beers are no different. Pumpkin flavored beers have caught the attention of craft beer and pumpkin lovers everywhere, partially because the flavors can be implemented in several beer styles. Whether you’re interested in trying pumpkin amber ales, IPAs or pumpkin stouts, there are plenty of options from American craft brewers for you to explore.</t>
  </si>
  <si>
    <t>Perhaps the most seasonal of seasonal beers, the pumpkin beer style can be brewed with pumpkin, just pumpkin spices, or even winter squash. Since the fruit does not have much of a taste by itself, many craft brewers have taken to adding spices typically found in pumpkin pie, like cinnamon and clove. However, these flavors should not overpower the beer. Pumpkin can be found in everything from stouts to pale ales and pilsners.</t>
  </si>
  <si>
    <t>Pumpkin Beer’s Versatility</t>
  </si>
  <si>
    <t>Pumpkin spice beer is so versatile that it is hard to nail down its particular characteristics. Pumpkin flavored beers can range from relatively light to dark, bitter or malt forward, and can be either sessionable or strong as far as the alcohol content is considered. As you’d expect, the pumpkin beer style pairs well with fall food flavors like roasted turkey and coffee ice cream. Camembert cheese is another decadent beer pairing if you’re pouring a glass of pumpkin flavored beer to enjoy.</t>
  </si>
  <si>
    <t>Pumpkin spice beers are a very popular seasonal beer style for a reason. American craft breweries everywhere likely have their own version of pumpkin beer you can explore, so get out and try them this fall (sometimes breweries even release them in late summer). If you are a lover of pumpkin ale, we can help you find a craft brewery that might serve one you haven’t tried yet.</t>
  </si>
  <si>
    <t>Pumpkin Spice Beer Locator</t>
  </si>
  <si>
    <t>Finding your next favorite pumpkin flavored beer doesn’t have to stop here. Feel free to use our interactive brewery map to find a brewery or brewpub near you that could very well be serving a pumpkin spice beer.</t>
  </si>
  <si>
    <t>If you enjoy the website and are interested in a convenient way to learn more about pumpkin flavored beers or the breweries that carry them, sign up to have our newsletter delivered directly to your inbox. We can’t send you beer, but we can send you our newsletter, which is almost as good.</t>
  </si>
  <si>
    <t>Pump Action Imperial Pumpkin Ale4 Noses Brewing Co.</t>
  </si>
  <si>
    <t>PumkingSouthern Tier Brewing Co.</t>
  </si>
  <si>
    <t>PunkinDogfish Head Craft Brewery</t>
  </si>
  <si>
    <t>Rye Beer</t>
  </si>
  <si>
    <t>In darker versions, malt flavor can optionally include low roasted malt characters (evident as cocoa/chocolate or caramel) and/or aromatic toffee-like, caramel, or biscuit-like characters. Low-level roasted malt astringency is acceptable when balanced with low to medium malt sweetness. Hop flavor is low to medium-high. Hop bitterness is low to medium. These beers can be made using either ale or lager yeast. The addition of rye to a beer can add a spicy or pumpernickel character to the flavor and finish. Color can also be enhanced and may become more red from the use of rye. The ingredient has come into vogue in recent years in everything from stouts to lagers, but is especially popular with craft brewers in India pale ales. To be considered an example of the style, the grain bill should include sufficient rye such that rye character is evident in the beer.</t>
  </si>
  <si>
    <t>LowRYEderSweetWater Brewing Co.</t>
  </si>
  <si>
    <t>HossGreat Divide Brewing Co.</t>
  </si>
  <si>
    <t>Breakside Rye Curious?Breakside Brewery</t>
  </si>
  <si>
    <t>Session Beer</t>
  </si>
  <si>
    <t>Session beer is not defined by flavors or aromas, which can place it in almost any style category. Instead, what makes a session beer is primarily refreshment and drinkability. Any style of beer can be made lower in strength than described in the classic style guidelines. The goal should be to reach a balance between the style’s character and the lower alcohol content. Drinkability is a factor in the overall balance of these beers. Beer should not exceed 5 percent ABV.</t>
  </si>
  <si>
    <t>Provo GirlUtah Brewers Co-op</t>
  </si>
  <si>
    <t>TwerpPizza Port Brewing Co.</t>
  </si>
  <si>
    <t>PSB Session IPLPerry Street Brewing Co.</t>
  </si>
  <si>
    <t>Smoke Beer</t>
  </si>
  <si>
    <t>When malt is kilned over an open flame, the smoke flavor becomes infused into the beer, leaving a taste that can vary from dense campfire, to slight wisps of smoke. Any style of beer can be smoked; the goal is to reach a balance between the style’s character and the smoky properties. Originating in Germany as rauchbier, this style is open to interpretation by U.S. craft brewers. Classic base styles include German-style Marzen/Oktoberfest, German-style bock, German-style dunkel, Vienna-style lager and more. Smoke flavors dissipate over time.</t>
  </si>
  <si>
    <t>Smoke Jumper Smoked Imperial PorterLeft Hand Brewing Co.</t>
  </si>
  <si>
    <t>Scarlet FireVictory Brewing Co.</t>
  </si>
  <si>
    <t>RaucherWolverine State Brewing Co.</t>
  </si>
  <si>
    <t>Specialty Beer</t>
  </si>
  <si>
    <t>Ingredients used in the specialty beer style should be distinctive and evident in either the aroma, flavor or overall balance of the beer. This style category is a catch-all. Any specialty beer that does not fit other specialty beer styles would be appropriately considered here. Examples can include sahti, steinbier, white IPA, session IPA and more.</t>
  </si>
  <si>
    <t>Chainbreaker White IPADeschutes Brewery</t>
  </si>
  <si>
    <t>Sam Adams Norse Legend SahtiBoston Beer Co.</t>
  </si>
  <si>
    <t>Campfire StoutHigh Water Brewing</t>
  </si>
  <si>
    <t xml:space="preserve">Style Family: </t>
  </si>
  <si>
    <r>
      <t>FG</t>
    </r>
    <r>
      <rPr>
        <sz val="12"/>
        <color rgb="FF383A37"/>
        <rFont val="Georgia"/>
        <family val="1"/>
      </rPr>
      <t>1.012 - 1.018</t>
    </r>
  </si>
  <si>
    <r>
      <t>IBU</t>
    </r>
    <r>
      <rPr>
        <sz val="12"/>
        <color rgb="FF383A37"/>
        <rFont val="Georgia"/>
        <family val="1"/>
      </rPr>
      <t>25 - 45</t>
    </r>
  </si>
  <si>
    <r>
      <t>SRM</t>
    </r>
    <r>
      <rPr>
        <sz val="12"/>
        <color rgb="FF383A37"/>
        <rFont val="Georgia"/>
        <family val="1"/>
      </rPr>
      <t>11 - 18</t>
    </r>
  </si>
  <si>
    <r>
      <t>CO2 Volumes</t>
    </r>
    <r>
      <rPr>
        <sz val="12"/>
        <color rgb="FF383A37"/>
        <rFont val="Georgia"/>
        <family val="1"/>
      </rPr>
      <t>2 - 2.5</t>
    </r>
  </si>
  <si>
    <r>
      <t>Apparent Attenuation</t>
    </r>
    <r>
      <rPr>
        <sz val="12"/>
        <color rgb="FF383A37"/>
        <rFont val="Georgia"/>
        <family val="1"/>
      </rPr>
      <t>69 - 75</t>
    </r>
  </si>
  <si>
    <r>
      <t>Alcohol</t>
    </r>
    <r>
      <rPr>
        <sz val="12"/>
        <color rgb="FF383A37"/>
        <rFont val="Georgia"/>
        <family val="1"/>
      </rPr>
      <t>Mild to Noticeable</t>
    </r>
  </si>
  <si>
    <r>
      <t>Carbonation (Visual)</t>
    </r>
    <r>
      <rPr>
        <sz val="12"/>
        <color rgb="FF383A37"/>
        <rFont val="Georgia"/>
        <family val="1"/>
      </rPr>
      <t>Medium to Fast Rising Bubbles</t>
    </r>
  </si>
  <si>
    <r>
      <t>Clarity</t>
    </r>
    <r>
      <rPr>
        <sz val="12"/>
        <color rgb="FF383A37"/>
        <rFont val="Georgia"/>
        <family val="1"/>
      </rPr>
      <t>Clear to Slight Haze</t>
    </r>
  </si>
  <si>
    <r>
      <t>Color</t>
    </r>
    <r>
      <rPr>
        <sz val="12"/>
        <color rgb="FF383A37"/>
        <rFont val="Georgia"/>
        <family val="1"/>
      </rPr>
      <t>Copper to Reddish Brown</t>
    </r>
  </si>
  <si>
    <r>
      <t>Country of Origin</t>
    </r>
    <r>
      <rPr>
        <sz val="12"/>
        <color rgb="FF383A37"/>
        <rFont val="Georgia"/>
        <family val="1"/>
      </rPr>
      <t>United States</t>
    </r>
  </si>
  <si>
    <r>
      <t>Cheese</t>
    </r>
    <r>
      <rPr>
        <sz val="12"/>
        <color rgb="FF383A37"/>
        <rFont val="Georgia"/>
        <family val="1"/>
      </rPr>
      <t>Medium Cheddar</t>
    </r>
  </si>
  <si>
    <r>
      <t>Entrée</t>
    </r>
    <r>
      <rPr>
        <sz val="12"/>
        <color rgb="FF383A37"/>
        <rFont val="Georgia"/>
        <family val="1"/>
      </rPr>
      <t>Barbecue</t>
    </r>
  </si>
  <si>
    <r>
      <t>Dessert</t>
    </r>
    <r>
      <rPr>
        <sz val="12"/>
        <color rgb="FF383A37"/>
        <rFont val="Georgia"/>
        <family val="1"/>
      </rPr>
      <t>Banana Pound Cake</t>
    </r>
  </si>
  <si>
    <r>
      <t>Glass</t>
    </r>
    <r>
      <rPr>
        <sz val="12"/>
        <color rgb="FF383A37"/>
        <rFont val="Georgia"/>
        <family val="1"/>
      </rPr>
      <t>Tulip</t>
    </r>
  </si>
  <si>
    <r>
      <t>Hop Aroma/Flavor</t>
    </r>
    <r>
      <rPr>
        <sz val="12"/>
        <color rgb="FF383A37"/>
        <rFont val="Georgia"/>
        <family val="1"/>
      </rPr>
      <t>Citrus-like character is acceptable</t>
    </r>
  </si>
  <si>
    <r>
      <t>Common Hop Ingredients</t>
    </r>
    <r>
      <rPr>
        <sz val="12"/>
        <color rgb="FF383A37"/>
        <rFont val="Georgia"/>
        <family val="1"/>
      </rPr>
      <t>Horizon, Cascade, Centennial</t>
    </r>
  </si>
  <si>
    <r>
      <t>Malt Aroma/Flavor</t>
    </r>
    <r>
      <rPr>
        <sz val="12"/>
        <color rgb="FF383A37"/>
        <rFont val="Georgia"/>
        <family val="1"/>
      </rPr>
      <t>Caramel</t>
    </r>
  </si>
  <si>
    <r>
      <t>Common Malt Ingredients</t>
    </r>
    <r>
      <rPr>
        <sz val="12"/>
        <color rgb="FF383A37"/>
        <rFont val="Georgia"/>
        <family val="1"/>
      </rPr>
      <t>English Pale Ale or American Two-Row, Crystal, Victory</t>
    </r>
  </si>
  <si>
    <r>
      <t>Palate Body</t>
    </r>
    <r>
      <rPr>
        <sz val="12"/>
        <color rgb="FF383A37"/>
        <rFont val="Georgia"/>
        <family val="1"/>
      </rPr>
      <t>Mouth-Coating</t>
    </r>
  </si>
  <si>
    <r>
      <t>Palate Carbonation</t>
    </r>
    <r>
      <rPr>
        <sz val="12"/>
        <color rgb="FF383A37"/>
        <rFont val="Georgia"/>
        <family val="1"/>
      </rPr>
      <t>Medium to High</t>
    </r>
  </si>
  <si>
    <r>
      <t>Palate Length/Finish</t>
    </r>
    <r>
      <rPr>
        <sz val="12"/>
        <color rgb="FF383A37"/>
        <rFont val="Georgia"/>
        <family val="1"/>
      </rPr>
      <t>Short to Medium</t>
    </r>
  </si>
  <si>
    <r>
      <t>Serving Temperature</t>
    </r>
    <r>
      <rPr>
        <sz val="12"/>
        <color rgb="FF383A37"/>
        <rFont val="Georgia"/>
        <family val="1"/>
      </rPr>
      <t>45-55°F</t>
    </r>
  </si>
  <si>
    <r>
      <t>Water Type</t>
    </r>
    <r>
      <rPr>
        <sz val="12"/>
        <color rgb="FF383A37"/>
        <rFont val="Georgia"/>
        <family val="1"/>
      </rPr>
      <t>Varies</t>
    </r>
  </si>
  <si>
    <r>
      <t>Type</t>
    </r>
    <r>
      <rPr>
        <sz val="12"/>
        <color rgb="FF383A37"/>
        <rFont val="Georgia"/>
        <family val="1"/>
      </rPr>
      <t>Ale</t>
    </r>
  </si>
  <si>
    <r>
      <t>Phenols</t>
    </r>
    <r>
      <rPr>
        <sz val="12"/>
        <color rgb="FF383A37"/>
        <rFont val="Georgia"/>
        <family val="1"/>
      </rPr>
      <t>Not common to style</t>
    </r>
  </si>
  <si>
    <r>
      <t>Esters</t>
    </r>
    <r>
      <rPr>
        <sz val="12"/>
        <color rgb="FF383A37"/>
        <rFont val="Georgia"/>
        <family val="1"/>
      </rPr>
      <t>There may below levels of fruity-ester flavor</t>
    </r>
  </si>
  <si>
    <r>
      <t>OG</t>
    </r>
    <r>
      <rPr>
        <sz val="12"/>
        <color rgb="FF383A37"/>
        <rFont val="Georgia"/>
        <family val="1"/>
      </rPr>
      <t>1.044 - 1.050</t>
    </r>
  </si>
  <si>
    <r>
      <t>FG</t>
    </r>
    <r>
      <rPr>
        <sz val="12"/>
        <color rgb="FF383A37"/>
        <rFont val="Georgia"/>
        <family val="1"/>
      </rPr>
      <t>1.008 - 1.014</t>
    </r>
  </si>
  <si>
    <r>
      <t>ABV</t>
    </r>
    <r>
      <rPr>
        <sz val="12"/>
        <color rgb="FF383A37"/>
        <rFont val="Georgia"/>
        <family val="1"/>
      </rPr>
      <t>4.4% - 5.4%</t>
    </r>
  </si>
  <si>
    <r>
      <t>IBU</t>
    </r>
    <r>
      <rPr>
        <sz val="12"/>
        <color rgb="FF383A37"/>
        <rFont val="Georgia"/>
        <family val="1"/>
      </rPr>
      <t>30 - 50</t>
    </r>
  </si>
  <si>
    <r>
      <t>BU:GU</t>
    </r>
    <r>
      <rPr>
        <sz val="12"/>
        <color rgb="FF383A37"/>
        <rFont val="Georgia"/>
        <family val="1"/>
      </rPr>
      <t>0.68 - 1.00</t>
    </r>
  </si>
  <si>
    <r>
      <t>SRM</t>
    </r>
    <r>
      <rPr>
        <sz val="12"/>
        <color rgb="FF383A37"/>
        <rFont val="Georgia"/>
        <family val="1"/>
      </rPr>
      <t>6 - 14</t>
    </r>
  </si>
  <si>
    <r>
      <t>Apparent Attenuation</t>
    </r>
    <r>
      <rPr>
        <sz val="12"/>
        <color rgb="FF383A37"/>
        <rFont val="Georgia"/>
        <family val="1"/>
      </rPr>
      <t>72 - 82</t>
    </r>
  </si>
  <si>
    <r>
      <t>Alcohol</t>
    </r>
    <r>
      <rPr>
        <sz val="12"/>
        <color rgb="FF383A37"/>
        <rFont val="Georgia"/>
        <family val="1"/>
      </rPr>
      <t>Not Detectable to Mild</t>
    </r>
  </si>
  <si>
    <r>
      <t>Brewing/Conditioning Process</t>
    </r>
    <r>
      <rPr>
        <sz val="12"/>
        <color rgb="FF383A37"/>
        <rFont val="Georgia"/>
        <family val="1"/>
      </rPr>
      <t>Dry-hopping or late hop additions to the kettle are common</t>
    </r>
  </si>
  <si>
    <r>
      <t>Color</t>
    </r>
    <r>
      <rPr>
        <sz val="12"/>
        <color rgb="FF383A37"/>
        <rFont val="Georgia"/>
        <family val="1"/>
      </rPr>
      <t>Deep Golden to Copper or Light Brown</t>
    </r>
  </si>
  <si>
    <r>
      <t>Cheese</t>
    </r>
    <r>
      <rPr>
        <sz val="12"/>
        <color rgb="FF383A37"/>
        <rFont val="Georgia"/>
        <family val="1"/>
      </rPr>
      <t>Mild or Medium Cheddar</t>
    </r>
  </si>
  <si>
    <r>
      <t>Entrée</t>
    </r>
    <r>
      <rPr>
        <sz val="12"/>
        <color rgb="FF383A37"/>
        <rFont val="Georgia"/>
        <family val="1"/>
      </rPr>
      <t>Roasted or Grilled Meats</t>
    </r>
  </si>
  <si>
    <r>
      <t>Dessert</t>
    </r>
    <r>
      <rPr>
        <sz val="12"/>
        <color rgb="FF383A37"/>
        <rFont val="Georgia"/>
        <family val="1"/>
      </rPr>
      <t>Apple Pie</t>
    </r>
  </si>
  <si>
    <r>
      <t>Hop Aroma/Flavor</t>
    </r>
    <r>
      <rPr>
        <sz val="12"/>
        <color rgb="FF383A37"/>
        <rFont val="Georgia"/>
        <family val="1"/>
      </rPr>
      <t>Hop aroma and flavor are medium to medium-high, exhibiting fruity, floral, and citrus-like American-variety hop aromas. Hop bitterness is medium to medium-high</t>
    </r>
  </si>
  <si>
    <r>
      <t>Common Hop Ingredients</t>
    </r>
    <r>
      <rPr>
        <sz val="12"/>
        <color rgb="FF383A37"/>
        <rFont val="Georgia"/>
        <family val="1"/>
      </rPr>
      <t>Cascade, Centennial</t>
    </r>
  </si>
  <si>
    <r>
      <t>Malt Aroma/Flavor</t>
    </r>
    <r>
      <rPr>
        <sz val="12"/>
        <color rgb="FF383A37"/>
        <rFont val="Georgia"/>
        <family val="1"/>
      </rPr>
      <t>Biscuit, Bready, Caramel</t>
    </r>
  </si>
  <si>
    <r>
      <t>Common Malt Ingredients</t>
    </r>
    <r>
      <rPr>
        <sz val="12"/>
        <color rgb="FF383A37"/>
        <rFont val="Georgia"/>
        <family val="1"/>
      </rPr>
      <t>Pale, Caramel, Munich</t>
    </r>
  </si>
  <si>
    <r>
      <t>Palate Body</t>
    </r>
    <r>
      <rPr>
        <sz val="12"/>
        <color rgb="FF383A37"/>
        <rFont val="Georgia"/>
        <family val="1"/>
      </rPr>
      <t>Soft</t>
    </r>
  </si>
  <si>
    <r>
      <t>Water Type</t>
    </r>
    <r>
      <rPr>
        <sz val="12"/>
        <color rgb="FF383A37"/>
        <rFont val="Georgia"/>
        <family val="1"/>
      </rPr>
      <t>Sulfite content may vary, but carbonate content should be relatively low</t>
    </r>
  </si>
  <si>
    <r>
      <t>Esters</t>
    </r>
    <r>
      <rPr>
        <sz val="12"/>
        <color rgb="FF383A37"/>
        <rFont val="Georgia"/>
        <family val="1"/>
      </rPr>
      <t>Citrus, Tropical Fruit</t>
    </r>
  </si>
  <si>
    <r>
      <t>OG</t>
    </r>
    <r>
      <rPr>
        <sz val="12"/>
        <color rgb="FF383A37"/>
        <rFont val="Georgia"/>
        <family val="1"/>
      </rPr>
      <t>1.045 - 1.054</t>
    </r>
  </si>
  <si>
    <r>
      <t>FG</t>
    </r>
    <r>
      <rPr>
        <sz val="12"/>
        <color rgb="FF383A37"/>
        <rFont val="Georgia"/>
        <family val="1"/>
      </rPr>
      <t>1.008 - 1.016</t>
    </r>
  </si>
  <si>
    <r>
      <t>ABV</t>
    </r>
    <r>
      <rPr>
        <sz val="12"/>
        <color rgb="FF383A37"/>
        <rFont val="Georgia"/>
        <family val="1"/>
      </rPr>
      <t>4.1% - 5.1%</t>
    </r>
  </si>
  <si>
    <r>
      <t>IBU</t>
    </r>
    <r>
      <rPr>
        <sz val="12"/>
        <color rgb="FF383A37"/>
        <rFont val="Georgia"/>
        <family val="1"/>
      </rPr>
      <t>15 - 25</t>
    </r>
  </si>
  <si>
    <r>
      <t>BU:GU</t>
    </r>
    <r>
      <rPr>
        <sz val="12"/>
        <color rgb="FF383A37"/>
        <rFont val="Georgia"/>
        <family val="1"/>
      </rPr>
      <t>0.33 - 0.45</t>
    </r>
  </si>
  <si>
    <r>
      <t>SRM</t>
    </r>
    <r>
      <rPr>
        <sz val="12"/>
        <color rgb="FF383A37"/>
        <rFont val="Georgia"/>
        <family val="1"/>
      </rPr>
      <t>3 - 7</t>
    </r>
  </si>
  <si>
    <r>
      <t>Apparent Attenuation</t>
    </r>
    <r>
      <rPr>
        <sz val="12"/>
        <color rgb="FF383A37"/>
        <rFont val="Georgia"/>
        <family val="1"/>
      </rPr>
      <t>71 - 82</t>
    </r>
  </si>
  <si>
    <r>
      <t>Clarity</t>
    </r>
    <r>
      <rPr>
        <sz val="12"/>
        <color rgb="FF383A37"/>
        <rFont val="Georgia"/>
        <family val="1"/>
      </rPr>
      <t>Brilliant to Slight Haze</t>
    </r>
  </si>
  <si>
    <r>
      <t>Color</t>
    </r>
    <r>
      <rPr>
        <sz val="12"/>
        <color rgb="FF383A37"/>
        <rFont val="Georgia"/>
        <family val="1"/>
      </rPr>
      <t>Straw to Light Amber</t>
    </r>
  </si>
  <si>
    <r>
      <t>Cheese</t>
    </r>
    <r>
      <rPr>
        <sz val="12"/>
        <color rgb="FF383A37"/>
        <rFont val="Georgia"/>
        <family val="1"/>
      </rPr>
      <t>Pepper Jack</t>
    </r>
  </si>
  <si>
    <r>
      <t>Entrée</t>
    </r>
    <r>
      <rPr>
        <sz val="12"/>
        <color rgb="FF383A37"/>
        <rFont val="Georgia"/>
        <family val="1"/>
      </rPr>
      <t>Spaghetti and Meatballs</t>
    </r>
  </si>
  <si>
    <r>
      <t>Dessert</t>
    </r>
    <r>
      <rPr>
        <sz val="12"/>
        <color rgb="FF383A37"/>
        <rFont val="Georgia"/>
        <family val="1"/>
      </rPr>
      <t>Sugar Cookies</t>
    </r>
  </si>
  <si>
    <r>
      <t>Hop Aroma/Flavor</t>
    </r>
    <r>
      <rPr>
        <sz val="12"/>
        <color rgb="FF383A37"/>
        <rFont val="Georgia"/>
        <family val="1"/>
      </rPr>
      <t>Hop aroma is low to medium-low, present but not dominant. Hop bitterness is low to medium-low.</t>
    </r>
  </si>
  <si>
    <r>
      <t>Common Hop Ingredients</t>
    </r>
    <r>
      <rPr>
        <sz val="12"/>
        <color rgb="FF383A37"/>
        <rFont val="Georgia"/>
        <family val="1"/>
      </rPr>
      <t>Williamette</t>
    </r>
  </si>
  <si>
    <r>
      <t>Malt Aroma/Flavor</t>
    </r>
    <r>
      <rPr>
        <sz val="12"/>
        <color rgb="FF383A37"/>
        <rFont val="Georgia"/>
        <family val="1"/>
      </rPr>
      <t>Light malt sweetness is present in the flavor. Bread, toast, biscuit and wheat flavors are common.</t>
    </r>
  </si>
  <si>
    <r>
      <t>Common Malt Ingredients</t>
    </r>
    <r>
      <rPr>
        <sz val="12"/>
        <color rgb="FF383A37"/>
        <rFont val="Georgia"/>
        <family val="1"/>
      </rPr>
      <t>American Two-Row, Crystal</t>
    </r>
  </si>
  <si>
    <r>
      <t>Other ingredients</t>
    </r>
    <r>
      <rPr>
        <sz val="12"/>
        <color rgb="FF383A37"/>
        <rFont val="Georgia"/>
        <family val="1"/>
      </rPr>
      <t>May include up to 25 percent Malted Wheat and sugar adjuncts.</t>
    </r>
  </si>
  <si>
    <r>
      <t>Palate Length/Finish</t>
    </r>
    <r>
      <rPr>
        <sz val="12"/>
        <color rgb="FF383A37"/>
        <rFont val="Georgia"/>
        <family val="1"/>
      </rPr>
      <t>Short</t>
    </r>
  </si>
  <si>
    <r>
      <t>Serving Temperature</t>
    </r>
    <r>
      <rPr>
        <sz val="12"/>
        <color rgb="FF383A37"/>
        <rFont val="Georgia"/>
        <family val="1"/>
      </rPr>
      <t>45-50°F</t>
    </r>
  </si>
  <si>
    <r>
      <t>Type</t>
    </r>
    <r>
      <rPr>
        <sz val="12"/>
        <color rgb="FF383A37"/>
        <rFont val="Georgia"/>
        <family val="1"/>
      </rPr>
      <t>Lager or Ale</t>
    </r>
  </si>
  <si>
    <r>
      <t>Phenols</t>
    </r>
    <r>
      <rPr>
        <sz val="12"/>
        <color rgb="FF383A37"/>
        <rFont val="Georgia"/>
        <family val="1"/>
      </rPr>
      <t>Not common to style.</t>
    </r>
  </si>
  <si>
    <r>
      <t>Esters</t>
    </r>
    <r>
      <rPr>
        <sz val="12"/>
        <color rgb="FF383A37"/>
        <rFont val="Georgia"/>
        <family val="1"/>
      </rPr>
      <t>Fruity esters may be perceived but not predominant.</t>
    </r>
  </si>
  <si>
    <r>
      <t>OG</t>
    </r>
    <r>
      <rPr>
        <sz val="12"/>
        <color rgb="FF383A37"/>
        <rFont val="Georgia"/>
        <family val="1"/>
      </rPr>
      <t>1.033 - 1.038</t>
    </r>
  </si>
  <si>
    <r>
      <t>FG</t>
    </r>
    <r>
      <rPr>
        <sz val="12"/>
        <color rgb="FF383A37"/>
        <rFont val="Georgia"/>
        <family val="1"/>
      </rPr>
      <t>1.006 - 1.012</t>
    </r>
  </si>
  <si>
    <r>
      <t>ABV</t>
    </r>
    <r>
      <rPr>
        <sz val="12"/>
        <color rgb="FF383A37"/>
        <rFont val="Georgia"/>
        <family val="1"/>
      </rPr>
      <t>3.0% - 4.2%</t>
    </r>
  </si>
  <si>
    <r>
      <t>IBU</t>
    </r>
    <r>
      <rPr>
        <sz val="12"/>
        <color rgb="FF383A37"/>
        <rFont val="Georgia"/>
        <family val="1"/>
      </rPr>
      <t>20 - 35</t>
    </r>
  </si>
  <si>
    <r>
      <t>BU:GU</t>
    </r>
    <r>
      <rPr>
        <sz val="12"/>
        <color rgb="FF383A37"/>
        <rFont val="Georgia"/>
        <family val="1"/>
      </rPr>
      <t>0.61 - 0.92</t>
    </r>
  </si>
  <si>
    <r>
      <t>SRM</t>
    </r>
    <r>
      <rPr>
        <sz val="12"/>
        <color rgb="FF383A37"/>
        <rFont val="Georgia"/>
        <family val="1"/>
      </rPr>
      <t>5 - 12</t>
    </r>
  </si>
  <si>
    <r>
      <t>CO2 Volumes</t>
    </r>
    <r>
      <rPr>
        <sz val="12"/>
        <color rgb="FF383A37"/>
        <rFont val="Georgia"/>
        <family val="1"/>
      </rPr>
      <t>1 - 1.5</t>
    </r>
  </si>
  <si>
    <r>
      <t>Apparent Attenuation</t>
    </r>
    <r>
      <rPr>
        <sz val="12"/>
        <color rgb="FF383A37"/>
        <rFont val="Georgia"/>
        <family val="1"/>
      </rPr>
      <t>68 - 82</t>
    </r>
  </si>
  <si>
    <r>
      <t>Carbonation (Visual)</t>
    </r>
    <r>
      <rPr>
        <sz val="12"/>
        <color rgb="FF383A37"/>
        <rFont val="Georgia"/>
        <family val="1"/>
      </rPr>
      <t>Slow Rising Bubbles</t>
    </r>
  </si>
  <si>
    <r>
      <t>Clarity</t>
    </r>
    <r>
      <rPr>
        <sz val="12"/>
        <color rgb="FF383A37"/>
        <rFont val="Georgia"/>
        <family val="1"/>
      </rPr>
      <t>Clear to Brilliant</t>
    </r>
  </si>
  <si>
    <r>
      <t>Color</t>
    </r>
    <r>
      <rPr>
        <sz val="12"/>
        <color rgb="FF383A37"/>
        <rFont val="Georgia"/>
        <family val="1"/>
      </rPr>
      <t>Gold to Copper</t>
    </r>
  </si>
  <si>
    <r>
      <t>Country of Origin</t>
    </r>
    <r>
      <rPr>
        <sz val="12"/>
        <color rgb="FF383A37"/>
        <rFont val="Georgia"/>
        <family val="1"/>
      </rPr>
      <t>United Kingdom</t>
    </r>
  </si>
  <si>
    <r>
      <t>Cheese</t>
    </r>
    <r>
      <rPr>
        <sz val="12"/>
        <color rgb="FF383A37"/>
        <rFont val="Georgia"/>
        <family val="1"/>
      </rPr>
      <t>Firm English Cheeses</t>
    </r>
  </si>
  <si>
    <r>
      <t>Entrée</t>
    </r>
    <r>
      <rPr>
        <sz val="12"/>
        <color rgb="FF383A37"/>
        <rFont val="Georgia"/>
        <family val="1"/>
      </rPr>
      <t>Roasted Chicken, Fish and Chips</t>
    </r>
  </si>
  <si>
    <r>
      <t>Dessert</t>
    </r>
    <r>
      <rPr>
        <sz val="12"/>
        <color rgb="FF383A37"/>
        <rFont val="Georgia"/>
        <family val="1"/>
      </rPr>
      <t>Oatmeal Raisin Walnut Cookies</t>
    </r>
  </si>
  <si>
    <r>
      <t>Glass</t>
    </r>
    <r>
      <rPr>
        <sz val="12"/>
        <color rgb="FF383A37"/>
        <rFont val="Georgia"/>
        <family val="1"/>
      </rPr>
      <t>Nonic Pint</t>
    </r>
  </si>
  <si>
    <r>
      <t>Hop Aroma/Flavor</t>
    </r>
    <r>
      <rPr>
        <sz val="12"/>
        <color rgb="FF383A37"/>
        <rFont val="Georgia"/>
        <family val="1"/>
      </rPr>
      <t>Hop aroma may be evident at the brewer's discretion</t>
    </r>
  </si>
  <si>
    <r>
      <t>Common Hop Ingredients</t>
    </r>
    <r>
      <rPr>
        <sz val="12"/>
        <color rgb="FF383A37"/>
        <rFont val="Georgia"/>
        <family val="1"/>
      </rPr>
      <t>Kent Goldings</t>
    </r>
  </si>
  <si>
    <r>
      <t>Malt Aroma/Flavor</t>
    </r>
    <r>
      <rPr>
        <sz val="12"/>
        <color rgb="FF383A37"/>
        <rFont val="Georgia"/>
        <family val="1"/>
      </rPr>
      <t>Low to medium residual malt sweetness is present</t>
    </r>
  </si>
  <si>
    <r>
      <t>Common Malt Ingredients</t>
    </r>
    <r>
      <rPr>
        <sz val="12"/>
        <color rgb="FF383A37"/>
        <rFont val="Georgia"/>
        <family val="1"/>
      </rPr>
      <t>British Pale Ale, Aromatic, Crystal, Special Roast</t>
    </r>
  </si>
  <si>
    <r>
      <t>Palate Body</t>
    </r>
    <r>
      <rPr>
        <sz val="12"/>
        <color rgb="FF383A37"/>
        <rFont val="Georgia"/>
        <family val="1"/>
      </rPr>
      <t>Drying to Soft</t>
    </r>
  </si>
  <si>
    <r>
      <t>Palate Carbonation</t>
    </r>
    <r>
      <rPr>
        <sz val="12"/>
        <color rgb="FF383A37"/>
        <rFont val="Georgia"/>
        <family val="1"/>
      </rPr>
      <t>Low</t>
    </r>
  </si>
  <si>
    <r>
      <t>Serving Temperature</t>
    </r>
    <r>
      <rPr>
        <sz val="12"/>
        <color rgb="FF383A37"/>
        <rFont val="Georgia"/>
        <family val="1"/>
      </rPr>
      <t>50-55°F</t>
    </r>
  </si>
  <si>
    <r>
      <t>Esters</t>
    </r>
    <r>
      <rPr>
        <sz val="12"/>
        <color rgb="FF383A37"/>
        <rFont val="Georgia"/>
        <family val="1"/>
      </rPr>
      <t>Fruity esters are common.</t>
    </r>
  </si>
  <si>
    <r>
      <t>Fermentation Byproducts</t>
    </r>
    <r>
      <rPr>
        <sz val="12"/>
        <color rgb="FF383A37"/>
        <rFont val="Georgia"/>
        <family val="1"/>
      </rPr>
      <t>Low-level diacetyl aromas and flavor are acceptable</t>
    </r>
  </si>
  <si>
    <r>
      <t>OG</t>
    </r>
    <r>
      <rPr>
        <sz val="12"/>
        <color rgb="FF383A37"/>
        <rFont val="Georgia"/>
        <family val="1"/>
      </rPr>
      <t>1.040 - 1.056</t>
    </r>
  </si>
  <si>
    <r>
      <t>ABV</t>
    </r>
    <r>
      <rPr>
        <sz val="12"/>
        <color rgb="FF383A37"/>
        <rFont val="Georgia"/>
        <family val="1"/>
      </rPr>
      <t>4.4% - 5.3%</t>
    </r>
  </si>
  <si>
    <r>
      <t>IBU</t>
    </r>
    <r>
      <rPr>
        <sz val="12"/>
        <color rgb="FF383A37"/>
        <rFont val="Georgia"/>
        <family val="1"/>
      </rPr>
      <t>20 - 40</t>
    </r>
  </si>
  <si>
    <r>
      <t>BU:GU</t>
    </r>
    <r>
      <rPr>
        <sz val="12"/>
        <color rgb="FF383A37"/>
        <rFont val="Georgia"/>
        <family val="1"/>
      </rPr>
      <t>0.50 - 0.71</t>
    </r>
  </si>
  <si>
    <r>
      <t>CO2 Volumes</t>
    </r>
    <r>
      <rPr>
        <sz val="12"/>
        <color rgb="FF383A37"/>
        <rFont val="Georgia"/>
        <family val="1"/>
      </rPr>
      <t>1.5 - 2</t>
    </r>
  </si>
  <si>
    <r>
      <t>Apparent Attenuation</t>
    </r>
    <r>
      <rPr>
        <sz val="12"/>
        <color rgb="FF383A37"/>
        <rFont val="Georgia"/>
        <family val="1"/>
      </rPr>
      <t>71 - 80</t>
    </r>
  </si>
  <si>
    <r>
      <t>Alcohol</t>
    </r>
    <r>
      <rPr>
        <sz val="12"/>
        <color rgb="FF383A37"/>
        <rFont val="Georgia"/>
        <family val="1"/>
      </rPr>
      <t>Mild</t>
    </r>
  </si>
  <si>
    <r>
      <t>Cheese</t>
    </r>
    <r>
      <rPr>
        <sz val="12"/>
        <color rgb="FF383A37"/>
        <rFont val="Georgia"/>
        <family val="1"/>
      </rPr>
      <t>English-Style Cheeses</t>
    </r>
  </si>
  <si>
    <r>
      <t>Dessert</t>
    </r>
    <r>
      <rPr>
        <sz val="12"/>
        <color rgb="FF383A37"/>
        <rFont val="Georgia"/>
        <family val="1"/>
      </rPr>
      <t>Maple Bread Pudding</t>
    </r>
  </si>
  <si>
    <r>
      <t>Hop Aroma/Flavor</t>
    </r>
    <r>
      <rPr>
        <sz val="12"/>
        <color rgb="FF383A37"/>
        <rFont val="Georgia"/>
        <family val="1"/>
      </rPr>
      <t>Hop flavor is medium to medium-high. Hop bitterness is medium to medium-high</t>
    </r>
  </si>
  <si>
    <r>
      <t>Malt Aroma/Flavor</t>
    </r>
    <r>
      <rPr>
        <sz val="12"/>
        <color rgb="FF383A37"/>
        <rFont val="Georgia"/>
        <family val="1"/>
      </rPr>
      <t>Residual malt and defining sweetness is medium to medium-high</t>
    </r>
  </si>
  <si>
    <r>
      <t>Common Malt Ingredients</t>
    </r>
    <r>
      <rPr>
        <sz val="12"/>
        <color rgb="FF383A37"/>
        <rFont val="Georgia"/>
        <family val="1"/>
      </rPr>
      <t>British Pale Ale, Crystal</t>
    </r>
  </si>
  <si>
    <r>
      <t>Other ingredients</t>
    </r>
    <r>
      <rPr>
        <sz val="12"/>
        <color rgb="FF383A37"/>
        <rFont val="Georgia"/>
        <family val="1"/>
      </rPr>
      <t>Some versions use sugar, corn or wheat</t>
    </r>
  </si>
  <si>
    <r>
      <t>Palate Body</t>
    </r>
    <r>
      <rPr>
        <sz val="12"/>
        <color rgb="FF383A37"/>
        <rFont val="Georgia"/>
        <family val="1"/>
      </rPr>
      <t>Moderate</t>
    </r>
  </si>
  <si>
    <r>
      <t>Water Type</t>
    </r>
    <r>
      <rPr>
        <sz val="12"/>
        <color rgb="FF383A37"/>
        <rFont val="Georgia"/>
        <family val="1"/>
      </rPr>
      <t>Some versions use medium to high sulfate</t>
    </r>
  </si>
  <si>
    <r>
      <t>Esters</t>
    </r>
    <r>
      <rPr>
        <sz val="12"/>
        <color rgb="FF383A37"/>
        <rFont val="Georgia"/>
        <family val="1"/>
      </rPr>
      <t>Fruity-ester and very low diacetyl flavors are acceptable, but should be minimized in this form of bitter</t>
    </r>
  </si>
  <si>
    <r>
      <t>OG</t>
    </r>
    <r>
      <rPr>
        <sz val="12"/>
        <color rgb="FF383A37"/>
        <rFont val="Georgia"/>
        <family val="1"/>
      </rPr>
      <t>1.042 - 1.056</t>
    </r>
  </si>
  <si>
    <r>
      <t>FG</t>
    </r>
    <r>
      <rPr>
        <sz val="12"/>
        <color rgb="FF383A37"/>
        <rFont val="Georgia"/>
        <family val="1"/>
      </rPr>
      <t>1.010 - 1.018</t>
    </r>
  </si>
  <si>
    <r>
      <t>ABV</t>
    </r>
    <r>
      <rPr>
        <sz val="12"/>
        <color rgb="FF383A37"/>
        <rFont val="Georgia"/>
        <family val="1"/>
      </rPr>
      <t>4.8% - 5.4%</t>
    </r>
  </si>
  <si>
    <r>
      <t>IBU</t>
    </r>
    <r>
      <rPr>
        <sz val="12"/>
        <color rgb="FF383A37"/>
        <rFont val="Georgia"/>
        <family val="1"/>
      </rPr>
      <t>18 - 30</t>
    </r>
  </si>
  <si>
    <r>
      <t>BU:GU</t>
    </r>
    <r>
      <rPr>
        <sz val="12"/>
        <color rgb="FF383A37"/>
        <rFont val="Georgia"/>
        <family val="1"/>
      </rPr>
      <t>0.43 - 0.54</t>
    </r>
  </si>
  <si>
    <r>
      <t>CO2 Volumes</t>
    </r>
    <r>
      <rPr>
        <sz val="12"/>
        <color rgb="FF383A37"/>
        <rFont val="Georgia"/>
        <family val="1"/>
      </rPr>
      <t>2.5 approximately</t>
    </r>
  </si>
  <si>
    <r>
      <t>Apparent Attenuation</t>
    </r>
    <r>
      <rPr>
        <sz val="12"/>
        <color rgb="FF383A37"/>
        <rFont val="Georgia"/>
        <family val="1"/>
      </rPr>
      <t>68 - 76</t>
    </r>
  </si>
  <si>
    <r>
      <t>Brewing/Conditioning Process</t>
    </r>
    <r>
      <rPr>
        <sz val="12"/>
        <color rgb="FF383A37"/>
        <rFont val="Georgia"/>
        <family val="1"/>
      </rPr>
      <t>Can use decoction mash and dry-hopping to achieve advanced flavors</t>
    </r>
  </si>
  <si>
    <r>
      <t>Cheese</t>
    </r>
    <r>
      <rPr>
        <sz val="12"/>
        <color rgb="FF383A37"/>
        <rFont val="Georgia"/>
        <family val="1"/>
      </rPr>
      <t>White Cheddar</t>
    </r>
  </si>
  <si>
    <r>
      <t>Entrée</t>
    </r>
    <r>
      <rPr>
        <sz val="12"/>
        <color rgb="FF383A37"/>
        <rFont val="Georgia"/>
        <family val="1"/>
      </rPr>
      <t>Grilled Meats and Vegetables</t>
    </r>
  </si>
  <si>
    <r>
      <t>Dessert</t>
    </r>
    <r>
      <rPr>
        <sz val="12"/>
        <color rgb="FF383A37"/>
        <rFont val="Georgia"/>
        <family val="1"/>
      </rPr>
      <t>Fruit Desserts</t>
    </r>
  </si>
  <si>
    <r>
      <t>Hop Aroma/Flavor</t>
    </r>
    <r>
      <rPr>
        <sz val="12"/>
        <color rgb="FF383A37"/>
        <rFont val="Georgia"/>
        <family val="1"/>
      </rPr>
      <t>Hop flavor and aroma are very low to medium-high. Hop bitterness is very low to medium-high</t>
    </r>
  </si>
  <si>
    <r>
      <t>Common Hop Ingredients</t>
    </r>
    <r>
      <rPr>
        <sz val="12"/>
        <color rgb="FF383A37"/>
        <rFont val="Georgia"/>
        <family val="1"/>
      </rPr>
      <t>German Noble</t>
    </r>
  </si>
  <si>
    <r>
      <t>Malt Aroma/Flavor</t>
    </r>
    <r>
      <rPr>
        <sz val="12"/>
        <color rgb="FF383A37"/>
        <rFont val="Georgia"/>
        <family val="1"/>
      </rPr>
      <t>Low to medium-low caramel-type or toasted malt aromas are often present</t>
    </r>
  </si>
  <si>
    <r>
      <t>Common Malt Ingredients</t>
    </r>
    <r>
      <rPr>
        <sz val="12"/>
        <color rgb="FF383A37"/>
        <rFont val="Georgia"/>
        <family val="1"/>
      </rPr>
      <t>Two-row, Munich, Vienna, Caramel</t>
    </r>
  </si>
  <si>
    <r>
      <t>Type</t>
    </r>
    <r>
      <rPr>
        <sz val="12"/>
        <color rgb="FF383A37"/>
        <rFont val="Georgia"/>
        <family val="1"/>
      </rPr>
      <t>Lager</t>
    </r>
  </si>
  <si>
    <r>
      <t>Esters</t>
    </r>
    <r>
      <rPr>
        <sz val="12"/>
        <color rgb="FF383A37"/>
        <rFont val="Georgia"/>
        <family val="1"/>
      </rPr>
      <t>Not common to style</t>
    </r>
  </si>
  <si>
    <r>
      <t>OG</t>
    </r>
    <r>
      <rPr>
        <sz val="12"/>
        <color rgb="FF383A37"/>
        <rFont val="Georgia"/>
        <family val="1"/>
      </rPr>
      <t>1.048 - 1.056</t>
    </r>
  </si>
  <si>
    <r>
      <t>FG</t>
    </r>
    <r>
      <rPr>
        <sz val="12"/>
        <color rgb="FF383A37"/>
        <rFont val="Georgia"/>
        <family val="1"/>
      </rPr>
      <t>1.014 - 1.018</t>
    </r>
  </si>
  <si>
    <r>
      <t>ABV</t>
    </r>
    <r>
      <rPr>
        <sz val="12"/>
        <color rgb="FF383A37"/>
        <rFont val="Georgia"/>
        <family val="1"/>
      </rPr>
      <t>4.8% - 5.3%</t>
    </r>
  </si>
  <si>
    <r>
      <t>IBU</t>
    </r>
    <r>
      <rPr>
        <sz val="12"/>
        <color rgb="FF383A37"/>
        <rFont val="Georgia"/>
        <family val="1"/>
      </rPr>
      <t>16 - 25</t>
    </r>
  </si>
  <si>
    <r>
      <t>SRM</t>
    </r>
    <r>
      <rPr>
        <sz val="12"/>
        <color rgb="FF383A37"/>
        <rFont val="Georgia"/>
        <family val="1"/>
      </rPr>
      <t>15 - 17</t>
    </r>
  </si>
  <si>
    <r>
      <t>Apparent Attenuation</t>
    </r>
    <r>
      <rPr>
        <sz val="12"/>
        <color rgb="FF383A37"/>
        <rFont val="Georgia"/>
        <family val="1"/>
      </rPr>
      <t>68 - 71</t>
    </r>
  </si>
  <si>
    <r>
      <t>Carbonation (Visual)</t>
    </r>
    <r>
      <rPr>
        <sz val="12"/>
        <color rgb="FF383A37"/>
        <rFont val="Georgia"/>
        <family val="1"/>
      </rPr>
      <t>Medium Rising Bubbles</t>
    </r>
  </si>
  <si>
    <r>
      <t>Brewing/Conditioning Process</t>
    </r>
    <r>
      <rPr>
        <sz val="12"/>
        <color rgb="FF383A37"/>
        <rFont val="Georgia"/>
        <family val="1"/>
      </rPr>
      <t>A decoction mash is commonly used</t>
    </r>
  </si>
  <si>
    <r>
      <t>Color</t>
    </r>
    <r>
      <rPr>
        <sz val="12"/>
        <color rgb="FF383A37"/>
        <rFont val="Georgia"/>
        <family val="1"/>
      </rPr>
      <t>Light Brown to Dark Brown</t>
    </r>
  </si>
  <si>
    <r>
      <t>Country of Origin</t>
    </r>
    <r>
      <rPr>
        <sz val="12"/>
        <color rgb="FF383A37"/>
        <rFont val="Georgia"/>
        <family val="1"/>
      </rPr>
      <t>Germany</t>
    </r>
  </si>
  <si>
    <r>
      <t>Cheese</t>
    </r>
    <r>
      <rPr>
        <sz val="12"/>
        <color rgb="FF383A37"/>
        <rFont val="Georgia"/>
        <family val="1"/>
      </rPr>
      <t>Washed-Rind Munster</t>
    </r>
  </si>
  <si>
    <r>
      <t>Entrée</t>
    </r>
    <r>
      <rPr>
        <sz val="12"/>
        <color rgb="FF383A37"/>
        <rFont val="Georgia"/>
        <family val="1"/>
      </rPr>
      <t>Sausages, Roasted Vegetables</t>
    </r>
  </si>
  <si>
    <r>
      <t>Dessert</t>
    </r>
    <r>
      <rPr>
        <sz val="12"/>
        <color rgb="FF383A37"/>
        <rFont val="Georgia"/>
        <family val="1"/>
      </rPr>
      <t>Candied Ginger Beer Cake</t>
    </r>
  </si>
  <si>
    <r>
      <t>Glass</t>
    </r>
    <r>
      <rPr>
        <sz val="12"/>
        <color rgb="FF383A37"/>
        <rFont val="Georgia"/>
        <family val="1"/>
      </rPr>
      <t>Vase</t>
    </r>
  </si>
  <si>
    <r>
      <t>Hop Aroma/Flavor</t>
    </r>
    <r>
      <rPr>
        <sz val="12"/>
        <color rgb="FF383A37"/>
        <rFont val="Georgia"/>
        <family val="1"/>
      </rPr>
      <t>Hop aroma and flavor are not perceived. Hop bitterness is low</t>
    </r>
  </si>
  <si>
    <r>
      <t>Malt Aroma/Flavor</t>
    </r>
    <r>
      <rPr>
        <sz val="12"/>
        <color rgb="FF383A37"/>
        <rFont val="Georgia"/>
        <family val="1"/>
      </rPr>
      <t>Malt aroma is low to medium, with chocolate-like, roasted malt, bread-like or biscuit-like notes</t>
    </r>
  </si>
  <si>
    <r>
      <t>Common Malt Ingredients</t>
    </r>
    <r>
      <rPr>
        <sz val="12"/>
        <color rgb="FF383A37"/>
        <rFont val="Georgia"/>
        <family val="1"/>
      </rPr>
      <t>Munich, Carafa Special II</t>
    </r>
  </si>
  <si>
    <r>
      <t>Palate Carbonation</t>
    </r>
    <r>
      <rPr>
        <sz val="12"/>
        <color rgb="FF383A37"/>
        <rFont val="Georgia"/>
        <family val="1"/>
      </rPr>
      <t>Medium</t>
    </r>
  </si>
  <si>
    <r>
      <t>Palate Length/Finish</t>
    </r>
    <r>
      <rPr>
        <sz val="12"/>
        <color rgb="FF383A37"/>
        <rFont val="Georgia"/>
        <family val="1"/>
      </rPr>
      <t>Medium</t>
    </r>
  </si>
  <si>
    <r>
      <t>Water Type</t>
    </r>
    <r>
      <rPr>
        <sz val="12"/>
        <color rgb="FF383A37"/>
        <rFont val="Georgia"/>
        <family val="1"/>
      </rPr>
      <t>Moderate carbonate water</t>
    </r>
  </si>
  <si>
    <r>
      <t>OG</t>
    </r>
    <r>
      <rPr>
        <sz val="12"/>
        <color rgb="FF383A37"/>
        <rFont val="Georgia"/>
        <family val="1"/>
      </rPr>
      <t>1.050 - 1.060</t>
    </r>
  </si>
  <si>
    <r>
      <t>FG</t>
    </r>
    <r>
      <rPr>
        <sz val="12"/>
        <color rgb="FF383A37"/>
        <rFont val="Georgia"/>
        <family val="1"/>
      </rPr>
      <t>1.012 - 1.020</t>
    </r>
  </si>
  <si>
    <r>
      <t>ABV</t>
    </r>
    <r>
      <rPr>
        <sz val="12"/>
        <color rgb="FF383A37"/>
        <rFont val="Georgia"/>
        <family val="1"/>
      </rPr>
      <t>5.1% - 6.0%</t>
    </r>
  </si>
  <si>
    <r>
      <t>IBU</t>
    </r>
    <r>
      <rPr>
        <sz val="12"/>
        <color rgb="FF383A37"/>
        <rFont val="Georgia"/>
        <family val="1"/>
      </rPr>
      <t>18 - 25</t>
    </r>
  </si>
  <si>
    <r>
      <t>BU:GU</t>
    </r>
    <r>
      <rPr>
        <sz val="12"/>
        <color rgb="FF383A37"/>
        <rFont val="Georgia"/>
        <family val="1"/>
      </rPr>
      <t>0.36 - 0.42</t>
    </r>
  </si>
  <si>
    <r>
      <t>SRM</t>
    </r>
    <r>
      <rPr>
        <sz val="12"/>
        <color rgb="FF383A37"/>
        <rFont val="Georgia"/>
        <family val="1"/>
      </rPr>
      <t>4 - 15</t>
    </r>
  </si>
  <si>
    <r>
      <t>Apparent Attenuation</t>
    </r>
    <r>
      <rPr>
        <sz val="12"/>
        <color rgb="FF383A37"/>
        <rFont val="Georgia"/>
        <family val="1"/>
      </rPr>
      <t>67 - 76</t>
    </r>
  </si>
  <si>
    <r>
      <t>Clarity</t>
    </r>
    <r>
      <rPr>
        <sz val="12"/>
        <color rgb="FF383A37"/>
        <rFont val="Georgia"/>
        <family val="1"/>
      </rPr>
      <t>Brilliant</t>
    </r>
  </si>
  <si>
    <r>
      <t>Color</t>
    </r>
    <r>
      <rPr>
        <sz val="12"/>
        <color rgb="FF383A37"/>
        <rFont val="Georgia"/>
        <family val="1"/>
      </rPr>
      <t>Pale to Reddish Brown</t>
    </r>
  </si>
  <si>
    <r>
      <t>Cheese</t>
    </r>
    <r>
      <rPr>
        <sz val="12"/>
        <color rgb="FF383A37"/>
        <rFont val="Georgia"/>
        <family val="1"/>
      </rPr>
      <t>Jalapeno Jack</t>
    </r>
  </si>
  <si>
    <r>
      <t>Entrée</t>
    </r>
    <r>
      <rPr>
        <sz val="12"/>
        <color rgb="FF383A37"/>
        <rFont val="Georgia"/>
        <family val="1"/>
      </rPr>
      <t>Kielbasa</t>
    </r>
  </si>
  <si>
    <r>
      <t>Dessert</t>
    </r>
    <r>
      <rPr>
        <sz val="12"/>
        <color rgb="FF383A37"/>
        <rFont val="Georgia"/>
        <family val="1"/>
      </rPr>
      <t>Coconut Flan</t>
    </r>
  </si>
  <si>
    <r>
      <t>Glass</t>
    </r>
    <r>
      <rPr>
        <sz val="12"/>
        <color rgb="FF383A37"/>
        <rFont val="Georgia"/>
        <family val="1"/>
      </rPr>
      <t>Flute</t>
    </r>
  </si>
  <si>
    <r>
      <t>Hop Aroma/Flavor</t>
    </r>
    <r>
      <rPr>
        <sz val="12"/>
        <color rgb="FF383A37"/>
        <rFont val="Georgia"/>
        <family val="1"/>
      </rPr>
      <t>Hop aroma and flavor are very low to low. Hop bitterness is medium low to medium</t>
    </r>
  </si>
  <si>
    <r>
      <t>Malt Aroma/Flavor</t>
    </r>
    <r>
      <rPr>
        <sz val="12"/>
        <color rgb="FF383A37"/>
        <rFont val="Georgia"/>
        <family val="1"/>
      </rPr>
      <t>Toast</t>
    </r>
  </si>
  <si>
    <r>
      <t>Common Malt Ingredients</t>
    </r>
    <r>
      <rPr>
        <sz val="12"/>
        <color rgb="FF383A37"/>
        <rFont val="Georgia"/>
        <family val="1"/>
      </rPr>
      <t>Pilsner, Vienna, Munich</t>
    </r>
  </si>
  <si>
    <r>
      <t>OG</t>
    </r>
    <r>
      <rPr>
        <sz val="12"/>
        <color rgb="FF383A37"/>
        <rFont val="Georgia"/>
        <family val="1"/>
      </rPr>
      <t>1.044 - 1.052</t>
    </r>
  </si>
  <si>
    <r>
      <t>FG</t>
    </r>
    <r>
      <rPr>
        <sz val="12"/>
        <color rgb="FF383A37"/>
        <rFont val="Georgia"/>
        <family val="1"/>
      </rPr>
      <t>1.010 - 1.016</t>
    </r>
  </si>
  <si>
    <r>
      <t>ABV</t>
    </r>
    <r>
      <rPr>
        <sz val="12"/>
        <color rgb="FF383A37"/>
        <rFont val="Georgia"/>
        <family val="1"/>
      </rPr>
      <t>3.8% - 4.9%</t>
    </r>
  </si>
  <si>
    <r>
      <t>IBU</t>
    </r>
    <r>
      <rPr>
        <sz val="12"/>
        <color rgb="FF383A37"/>
        <rFont val="Georgia"/>
        <family val="1"/>
      </rPr>
      <t>22 - 30</t>
    </r>
  </si>
  <si>
    <r>
      <t>BU:GU</t>
    </r>
    <r>
      <rPr>
        <sz val="12"/>
        <color rgb="FF383A37"/>
        <rFont val="Georgia"/>
        <family val="1"/>
      </rPr>
      <t>0.50 - 0.58</t>
    </r>
  </si>
  <si>
    <r>
      <t>SRM</t>
    </r>
    <r>
      <rPr>
        <sz val="12"/>
        <color rgb="FF383A37"/>
        <rFont val="Georgia"/>
        <family val="1"/>
      </rPr>
      <t>25 - 30</t>
    </r>
  </si>
  <si>
    <r>
      <t>Apparent Attenuation</t>
    </r>
    <r>
      <rPr>
        <sz val="12"/>
        <color rgb="FF383A37"/>
        <rFont val="Georgia"/>
        <family val="1"/>
      </rPr>
      <t>69 - 77</t>
    </r>
  </si>
  <si>
    <r>
      <t>Clarity</t>
    </r>
    <r>
      <rPr>
        <sz val="12"/>
        <color rgb="FF383A37"/>
        <rFont val="Georgia"/>
        <family val="1"/>
      </rPr>
      <t>Clear</t>
    </r>
  </si>
  <si>
    <r>
      <t>Color</t>
    </r>
    <r>
      <rPr>
        <sz val="12"/>
        <color rgb="FF383A37"/>
        <rFont val="Georgia"/>
        <family val="1"/>
      </rPr>
      <t>Very Dark Brown to Black</t>
    </r>
  </si>
  <si>
    <r>
      <t>Cheese</t>
    </r>
    <r>
      <rPr>
        <sz val="12"/>
        <color rgb="FF383A37"/>
        <rFont val="Georgia"/>
        <family val="1"/>
      </rPr>
      <t>Munster-Style Cheese</t>
    </r>
  </si>
  <si>
    <r>
      <t>Entrée</t>
    </r>
    <r>
      <rPr>
        <sz val="12"/>
        <color rgb="FF383A37"/>
        <rFont val="Georgia"/>
        <family val="1"/>
      </rPr>
      <t>Mushroom Strudel</t>
    </r>
  </si>
  <si>
    <r>
      <t>Dessert</t>
    </r>
    <r>
      <rPr>
        <sz val="12"/>
        <color rgb="FF383A37"/>
        <rFont val="Georgia"/>
        <family val="1"/>
      </rPr>
      <t>Fruit Tart</t>
    </r>
  </si>
  <si>
    <r>
      <t>Hop Aroma/Flavor</t>
    </r>
    <r>
      <rPr>
        <sz val="12"/>
        <color rgb="FF383A37"/>
        <rFont val="Georgia"/>
        <family val="1"/>
      </rPr>
      <t>Hop aroma and flavor are very low to low, deriving from noble-type hops. Hop bitterness is low to medium</t>
    </r>
  </si>
  <si>
    <r>
      <t>Malt Aroma/Flavor</t>
    </r>
    <r>
      <rPr>
        <sz val="12"/>
        <color rgb="FF383A37"/>
        <rFont val="Georgia"/>
        <family val="1"/>
      </rPr>
      <t>Reminiscent of bitter chocolate or coffee. Malt sweetness is low to medium, and incorporates mild roasted malt character without the associated bitterness</t>
    </r>
  </si>
  <si>
    <r>
      <t>Common Malt Ingredients</t>
    </r>
    <r>
      <rPr>
        <sz val="12"/>
        <color rgb="FF383A37"/>
        <rFont val="Georgia"/>
        <family val="1"/>
      </rPr>
      <t>Pilsner, Munich, Crystal, Chocolate Malt, Black Roasted Barley, Carafa Special II</t>
    </r>
  </si>
  <si>
    <r>
      <t>OG</t>
    </r>
    <r>
      <rPr>
        <sz val="12"/>
        <color rgb="FF383A37"/>
        <rFont val="Georgia"/>
        <family val="1"/>
      </rPr>
      <t>1.046 - 1.056</t>
    </r>
  </si>
  <si>
    <r>
      <t>IBU</t>
    </r>
    <r>
      <rPr>
        <sz val="12"/>
        <color rgb="FF383A37"/>
        <rFont val="Georgia"/>
        <family val="1"/>
      </rPr>
      <t>22 - 28</t>
    </r>
  </si>
  <si>
    <r>
      <t>BU:GU</t>
    </r>
    <r>
      <rPr>
        <sz val="12"/>
        <color rgb="FF383A37"/>
        <rFont val="Georgia"/>
        <family val="1"/>
      </rPr>
      <t>0.48 - 0.50</t>
    </r>
  </si>
  <si>
    <r>
      <t>SRM</t>
    </r>
    <r>
      <rPr>
        <sz val="12"/>
        <color rgb="FF383A37"/>
        <rFont val="Georgia"/>
        <family val="1"/>
      </rPr>
      <t>12 - 26</t>
    </r>
  </si>
  <si>
    <r>
      <t>Apparent Attenuation</t>
    </r>
    <r>
      <rPr>
        <sz val="12"/>
        <color rgb="FF383A37"/>
        <rFont val="Georgia"/>
        <family val="1"/>
      </rPr>
      <t>68 - 74</t>
    </r>
  </si>
  <si>
    <r>
      <t>Clarity</t>
    </r>
    <r>
      <rPr>
        <sz val="12"/>
        <color rgb="FF383A37"/>
        <rFont val="Georgia"/>
        <family val="1"/>
      </rPr>
      <t>Brilliant to Clear</t>
    </r>
  </si>
  <si>
    <r>
      <t>Cheese</t>
    </r>
    <r>
      <rPr>
        <sz val="12"/>
        <color rgb="FF383A37"/>
        <rFont val="Georgia"/>
        <family val="1"/>
      </rPr>
      <t>Mild Cheeses</t>
    </r>
  </si>
  <si>
    <r>
      <t>Dessert</t>
    </r>
    <r>
      <rPr>
        <sz val="12"/>
        <color rgb="FF383A37"/>
        <rFont val="Georgia"/>
        <family val="1"/>
      </rPr>
      <t>Almond Biscotti</t>
    </r>
  </si>
  <si>
    <r>
      <t>Hop Aroma/Flavor</t>
    </r>
    <r>
      <rPr>
        <sz val="12"/>
        <color rgb="FF383A37"/>
        <rFont val="Georgia"/>
        <family val="1"/>
      </rPr>
      <t>Hop aroma, flavor and bitterness are very low to low</t>
    </r>
  </si>
  <si>
    <r>
      <t>Malt Aroma/Flavor</t>
    </r>
    <r>
      <rPr>
        <sz val="12"/>
        <color rgb="FF383A37"/>
        <rFont val="Georgia"/>
        <family val="1"/>
      </rPr>
      <t>Aroma should have a notable degree of toasted and/or slightly roasted malt character. Malt flavor is slightly sweet</t>
    </r>
  </si>
  <si>
    <r>
      <t>Common Malt Ingredients</t>
    </r>
    <r>
      <rPr>
        <sz val="12"/>
        <color rgb="FF383A37"/>
        <rFont val="Georgia"/>
        <family val="1"/>
      </rPr>
      <t>Vienna</t>
    </r>
  </si>
  <si>
    <r>
      <t>Water Type</t>
    </r>
    <r>
      <rPr>
        <sz val="12"/>
        <color rgb="FF383A37"/>
        <rFont val="Georgia"/>
        <family val="1"/>
      </rPr>
      <t>Hard carbonate water</t>
    </r>
  </si>
  <si>
    <r>
      <t>OG</t>
    </r>
    <r>
      <rPr>
        <sz val="12"/>
        <color rgb="FF383A37"/>
        <rFont val="Georgia"/>
        <family val="1"/>
      </rPr>
      <t>1.040 - 1.060</t>
    </r>
  </si>
  <si>
    <r>
      <t>ABV</t>
    </r>
    <r>
      <rPr>
        <sz val="12"/>
        <color rgb="FF383A37"/>
        <rFont val="Georgia"/>
        <family val="1"/>
      </rPr>
      <t>4.2% - 6.3%</t>
    </r>
  </si>
  <si>
    <r>
      <t>BU:GU</t>
    </r>
    <r>
      <rPr>
        <sz val="12"/>
        <color rgb="FF383A37"/>
        <rFont val="Georgia"/>
        <family val="1"/>
      </rPr>
      <t>0.62 - 0.75</t>
    </r>
  </si>
  <si>
    <r>
      <t>SRM</t>
    </r>
    <r>
      <rPr>
        <sz val="12"/>
        <color rgb="FF383A37"/>
        <rFont val="Georgia"/>
        <family val="1"/>
      </rPr>
      <t>15 - 26</t>
    </r>
  </si>
  <si>
    <r>
      <t>Apparent Attenuation</t>
    </r>
    <r>
      <rPr>
        <sz val="12"/>
        <color rgb="FF383A37"/>
        <rFont val="Georgia"/>
        <family val="1"/>
      </rPr>
      <t>70 - 75</t>
    </r>
  </si>
  <si>
    <r>
      <t>Brewing/Conditioning Process</t>
    </r>
    <r>
      <rPr>
        <sz val="12"/>
        <color rgb="FF383A37"/>
        <rFont val="Georgia"/>
        <family val="1"/>
      </rPr>
      <t>May be dry-hopped</t>
    </r>
  </si>
  <si>
    <r>
      <t>Color</t>
    </r>
    <r>
      <rPr>
        <sz val="12"/>
        <color rgb="FF383A37"/>
        <rFont val="Georgia"/>
        <family val="1"/>
      </rPr>
      <t>Deep Copper to Very Dark Brown</t>
    </r>
  </si>
  <si>
    <r>
      <t>Cheese</t>
    </r>
    <r>
      <rPr>
        <sz val="12"/>
        <color rgb="FF383A37"/>
        <rFont val="Georgia"/>
        <family val="1"/>
      </rPr>
      <t>Aged Gouda</t>
    </r>
  </si>
  <si>
    <r>
      <t>Dessert</t>
    </r>
    <r>
      <rPr>
        <sz val="12"/>
        <color rgb="FF383A37"/>
        <rFont val="Georgia"/>
        <family val="1"/>
      </rPr>
      <t>Pear Fritters</t>
    </r>
  </si>
  <si>
    <r>
      <t>Hop Aroma/Flavor</t>
    </r>
    <r>
      <rPr>
        <sz val="12"/>
        <color rgb="FF383A37"/>
        <rFont val="Georgia"/>
        <family val="1"/>
      </rPr>
      <t>Hop aroma and flavor are low to medium. Hop bitterness is medium to high</t>
    </r>
  </si>
  <si>
    <r>
      <t>Common Hop Ingredients</t>
    </r>
    <r>
      <rPr>
        <sz val="12"/>
        <color rgb="FF383A37"/>
        <rFont val="Georgia"/>
        <family val="1"/>
      </rPr>
      <t>U.S., U.K., Noble</t>
    </r>
  </si>
  <si>
    <r>
      <t>Malt Aroma/Flavor</t>
    </r>
    <r>
      <rPr>
        <sz val="12"/>
        <color rgb="FF383A37"/>
        <rFont val="Georgia"/>
        <family val="1"/>
      </rPr>
      <t>Caramel, Chocolate, Toast</t>
    </r>
  </si>
  <si>
    <r>
      <t>Common Malt Ingredients</t>
    </r>
    <r>
      <rPr>
        <sz val="12"/>
        <color rgb="FF383A37"/>
        <rFont val="Georgia"/>
        <family val="1"/>
      </rPr>
      <t>Pale, Crystal, Chocolate, Victory</t>
    </r>
  </si>
  <si>
    <r>
      <t>Palate Body</t>
    </r>
    <r>
      <rPr>
        <sz val="12"/>
        <color rgb="FF383A37"/>
        <rFont val="Georgia"/>
        <family val="1"/>
      </rPr>
      <t>Varies</t>
    </r>
  </si>
  <si>
    <r>
      <t>Esters</t>
    </r>
    <r>
      <rPr>
        <sz val="12"/>
        <color rgb="FF383A37"/>
        <rFont val="Georgia"/>
        <family val="1"/>
      </rPr>
      <t>Fruity-ester flavors, if present, should be subdued</t>
    </r>
  </si>
  <si>
    <r>
      <t>OG</t>
    </r>
    <r>
      <rPr>
        <sz val="12"/>
        <color rgb="FF383A37"/>
        <rFont val="Georgia"/>
        <family val="1"/>
      </rPr>
      <t>1.040 - 1.050</t>
    </r>
  </si>
  <si>
    <r>
      <t>ABV</t>
    </r>
    <r>
      <rPr>
        <sz val="12"/>
        <color rgb="FF383A37"/>
        <rFont val="Georgia"/>
        <family val="1"/>
      </rPr>
      <t>4.2% - 6.0%</t>
    </r>
  </si>
  <si>
    <r>
      <t>BU:GU</t>
    </r>
    <r>
      <rPr>
        <sz val="12"/>
        <color rgb="FF383A37"/>
        <rFont val="Georgia"/>
        <family val="1"/>
      </rPr>
      <t>0.38 - 0.50</t>
    </r>
  </si>
  <si>
    <r>
      <t>SRM</t>
    </r>
    <r>
      <rPr>
        <sz val="12"/>
        <color rgb="FF383A37"/>
        <rFont val="Georgia"/>
        <family val="1"/>
      </rPr>
      <t>12 - 17</t>
    </r>
  </si>
  <si>
    <r>
      <t>Apparent Attenuation</t>
    </r>
    <r>
      <rPr>
        <sz val="12"/>
        <color rgb="FF383A37"/>
        <rFont val="Georgia"/>
        <family val="1"/>
      </rPr>
      <t>72 - 80</t>
    </r>
  </si>
  <si>
    <r>
      <t>Carbonation (Visual)</t>
    </r>
    <r>
      <rPr>
        <sz val="12"/>
        <color rgb="FF383A37"/>
        <rFont val="Georgia"/>
        <family val="1"/>
      </rPr>
      <t>Slow to Medium Rising Bubbles</t>
    </r>
  </si>
  <si>
    <r>
      <t>Color</t>
    </r>
    <r>
      <rPr>
        <sz val="12"/>
        <color rgb="FF383A37"/>
        <rFont val="Georgia"/>
        <family val="1"/>
      </rPr>
      <t>Amber to Brown</t>
    </r>
  </si>
  <si>
    <r>
      <t>Entrée</t>
    </r>
    <r>
      <rPr>
        <sz val="12"/>
        <color rgb="FF383A37"/>
        <rFont val="Georgia"/>
        <family val="1"/>
      </rPr>
      <t>Roasted Pork, Steak, Nuts</t>
    </r>
  </si>
  <si>
    <r>
      <t>Hop Aroma/Flavor</t>
    </r>
    <r>
      <rPr>
        <sz val="12"/>
        <color rgb="FF383A37"/>
        <rFont val="Georgia"/>
        <family val="1"/>
      </rPr>
      <t>Hop aroma and flavor is very low. Hop bitterness is very low to low</t>
    </r>
  </si>
  <si>
    <r>
      <t>Malt Aroma/Flavor</t>
    </r>
    <r>
      <rPr>
        <sz val="12"/>
        <color rgb="FF383A37"/>
        <rFont val="Georgia"/>
        <family val="1"/>
      </rPr>
      <t>Balance ranges from dry to sweet maltiness. Roast malt tones of toffee, nuts and caramel sometimes contribute to the flavor profile</t>
    </r>
  </si>
  <si>
    <r>
      <t>Common Malt Ingredients</t>
    </r>
    <r>
      <rPr>
        <sz val="12"/>
        <color rgb="FF383A37"/>
        <rFont val="Georgia"/>
        <family val="1"/>
      </rPr>
      <t>Pale Ale, Special Roast, Victory, Crystal, Pale Chocolate</t>
    </r>
  </si>
  <si>
    <r>
      <t>Palate Carbonation</t>
    </r>
    <r>
      <rPr>
        <sz val="12"/>
        <color rgb="FF383A37"/>
        <rFont val="Georgia"/>
        <family val="1"/>
      </rPr>
      <t>Low to Medium</t>
    </r>
  </si>
  <si>
    <r>
      <t>Esters</t>
    </r>
    <r>
      <rPr>
        <sz val="12"/>
        <color rgb="FF383A37"/>
        <rFont val="Georgia"/>
        <family val="1"/>
      </rPr>
      <t>Fruit (varies)</t>
    </r>
  </si>
  <si>
    <r>
      <t>Fermentation Byproducts</t>
    </r>
    <r>
      <rPr>
        <sz val="12"/>
        <color rgb="FF383A37"/>
        <rFont val="Georgia"/>
        <family val="1"/>
      </rPr>
      <t>Diacetyl should be very low, if evident</t>
    </r>
  </si>
  <si>
    <r>
      <t>OG</t>
    </r>
    <r>
      <rPr>
        <sz val="12"/>
        <color rgb="FF383A37"/>
        <rFont val="Georgia"/>
        <family val="1"/>
      </rPr>
      <t>1.030 - 1.036</t>
    </r>
  </si>
  <si>
    <r>
      <t>FG</t>
    </r>
    <r>
      <rPr>
        <sz val="12"/>
        <color rgb="FF383A37"/>
        <rFont val="Georgia"/>
        <family val="1"/>
      </rPr>
      <t>1.004 - 1.008</t>
    </r>
  </si>
  <si>
    <r>
      <t>ABV</t>
    </r>
    <r>
      <rPr>
        <sz val="12"/>
        <color rgb="FF383A37"/>
        <rFont val="Georgia"/>
        <family val="1"/>
      </rPr>
      <t>3.4% - 4.4%</t>
    </r>
  </si>
  <si>
    <r>
      <t>IBU</t>
    </r>
    <r>
      <rPr>
        <sz val="12"/>
        <color rgb="FF383A37"/>
        <rFont val="Georgia"/>
        <family val="1"/>
      </rPr>
      <t>10 - 24</t>
    </r>
  </si>
  <si>
    <r>
      <t>BU:GU</t>
    </r>
    <r>
      <rPr>
        <sz val="12"/>
        <color rgb="FF383A37"/>
        <rFont val="Georgia"/>
        <family val="1"/>
      </rPr>
      <t>0.33 - 0.67</t>
    </r>
  </si>
  <si>
    <r>
      <t>SRM</t>
    </r>
    <r>
      <rPr>
        <sz val="12"/>
        <color rgb="FF383A37"/>
        <rFont val="Georgia"/>
        <family val="1"/>
      </rPr>
      <t>17 - 34</t>
    </r>
  </si>
  <si>
    <r>
      <t>Apparent Attenuation</t>
    </r>
    <r>
      <rPr>
        <sz val="12"/>
        <color rgb="FF383A37"/>
        <rFont val="Georgia"/>
        <family val="1"/>
      </rPr>
      <t>78 - 87</t>
    </r>
  </si>
  <si>
    <r>
      <t>Alcohol</t>
    </r>
    <r>
      <rPr>
        <sz val="12"/>
        <color rgb="FF383A37"/>
        <rFont val="Georgia"/>
        <family val="1"/>
      </rPr>
      <t>Not Detectable</t>
    </r>
  </si>
  <si>
    <r>
      <t>Color</t>
    </r>
    <r>
      <rPr>
        <sz val="12"/>
        <color rgb="FF383A37"/>
        <rFont val="Georgia"/>
        <family val="1"/>
      </rPr>
      <t>Reddish Brown to Very Dark</t>
    </r>
  </si>
  <si>
    <r>
      <t>Cheese</t>
    </r>
    <r>
      <rPr>
        <sz val="12"/>
        <color rgb="FF383A37"/>
        <rFont val="Georgia"/>
        <family val="1"/>
      </rPr>
      <t>Mild Cheddar</t>
    </r>
  </si>
  <si>
    <r>
      <t>Entrée</t>
    </r>
    <r>
      <rPr>
        <sz val="12"/>
        <color rgb="FF383A37"/>
        <rFont val="Georgia"/>
        <family val="1"/>
      </rPr>
      <t>Mushrooms and Wild Game</t>
    </r>
  </si>
  <si>
    <r>
      <t>Dessert</t>
    </r>
    <r>
      <rPr>
        <sz val="12"/>
        <color rgb="FF383A37"/>
        <rFont val="Georgia"/>
        <family val="1"/>
      </rPr>
      <t>Dark Fruit Tart</t>
    </r>
  </si>
  <si>
    <r>
      <t>Hop Aroma/Flavor</t>
    </r>
    <r>
      <rPr>
        <sz val="12"/>
        <color rgb="FF383A37"/>
        <rFont val="Georgia"/>
        <family val="1"/>
      </rPr>
      <t>Hop flavor is low to very low</t>
    </r>
  </si>
  <si>
    <r>
      <t>Malt Aroma/Flavor</t>
    </r>
    <r>
      <rPr>
        <sz val="12"/>
        <color rgb="FF383A37"/>
        <rFont val="Georgia"/>
        <family val="1"/>
      </rPr>
      <t>Caramel, Chocolate, Coffee, Licorice, Raisin, Molasses. Malt flavors dominate the flavor profile</t>
    </r>
  </si>
  <si>
    <r>
      <t>Common Malt Ingredients</t>
    </r>
    <r>
      <rPr>
        <sz val="12"/>
        <color rgb="FF383A37"/>
        <rFont val="Georgia"/>
        <family val="1"/>
      </rPr>
      <t>British Pale Ale, Crystal, Pale Chocolate, Black Patent</t>
    </r>
  </si>
  <si>
    <r>
      <t>Other ingredients</t>
    </r>
    <r>
      <rPr>
        <sz val="12"/>
        <color rgb="FF383A37"/>
        <rFont val="Georgia"/>
        <family val="1"/>
      </rPr>
      <t>Sugar (occasionally)</t>
    </r>
  </si>
  <si>
    <r>
      <t>Palate Body</t>
    </r>
    <r>
      <rPr>
        <sz val="12"/>
        <color rgb="FF383A37"/>
        <rFont val="Georgia"/>
        <family val="1"/>
      </rPr>
      <t>Soft to Mouth-Coating</t>
    </r>
  </si>
  <si>
    <r>
      <t>Esters</t>
    </r>
    <r>
      <rPr>
        <sz val="12"/>
        <color rgb="FF383A37"/>
        <rFont val="Georgia"/>
        <family val="1"/>
      </rPr>
      <t>Fruity-ester flavors, if present, are very low to medium-low</t>
    </r>
  </si>
  <si>
    <r>
      <t>Fermentation Byproducts</t>
    </r>
    <r>
      <rPr>
        <sz val="12"/>
        <color rgb="FF383A37"/>
        <rFont val="Georgia"/>
        <family val="1"/>
      </rPr>
      <t>Diactyl at low levels is common</t>
    </r>
  </si>
  <si>
    <r>
      <t>OG</t>
    </r>
    <r>
      <rPr>
        <sz val="12"/>
        <color rgb="FF383A37"/>
        <rFont val="Georgia"/>
        <family val="1"/>
      </rPr>
      <t>1.060 - 1.075</t>
    </r>
  </si>
  <si>
    <r>
      <t>ABV</t>
    </r>
    <r>
      <rPr>
        <sz val="12"/>
        <color rgb="FF383A37"/>
        <rFont val="Georgia"/>
        <family val="1"/>
      </rPr>
      <t>6.3% - 7.6%</t>
    </r>
  </si>
  <si>
    <r>
      <t>IBU</t>
    </r>
    <r>
      <rPr>
        <sz val="12"/>
        <color rgb="FF383A37"/>
        <rFont val="Georgia"/>
        <family val="1"/>
      </rPr>
      <t>50 - 70</t>
    </r>
  </si>
  <si>
    <r>
      <t>BU:GU</t>
    </r>
    <r>
      <rPr>
        <sz val="12"/>
        <color rgb="FF383A37"/>
        <rFont val="Georgia"/>
        <family val="1"/>
      </rPr>
      <t>0.83 - 0.93</t>
    </r>
  </si>
  <si>
    <r>
      <t>Apparent Attenuation</t>
    </r>
    <r>
      <rPr>
        <sz val="12"/>
        <color rgb="FF383A37"/>
        <rFont val="Georgia"/>
        <family val="1"/>
      </rPr>
      <t>76 - 80</t>
    </r>
  </si>
  <si>
    <r>
      <t>Brewing/Conditioning Process</t>
    </r>
    <r>
      <rPr>
        <sz val="12"/>
        <color rgb="FF383A37"/>
        <rFont val="Georgia"/>
        <family val="1"/>
      </rPr>
      <t>Dry-hopping is common</t>
    </r>
  </si>
  <si>
    <r>
      <t>Color</t>
    </r>
    <r>
      <rPr>
        <sz val="12"/>
        <color rgb="FF383A37"/>
        <rFont val="Georgia"/>
        <family val="1"/>
      </rPr>
      <t>Gold to Copper, Red/Brown</t>
    </r>
  </si>
  <si>
    <r>
      <t>Cheese</t>
    </r>
    <r>
      <rPr>
        <sz val="12"/>
        <color rgb="FF383A37"/>
        <rFont val="Georgia"/>
        <family val="1"/>
      </rPr>
      <t>Blue Cheeses</t>
    </r>
  </si>
  <si>
    <r>
      <t>Entrée</t>
    </r>
    <r>
      <rPr>
        <sz val="12"/>
        <color rgb="FF383A37"/>
        <rFont val="Georgia"/>
        <family val="1"/>
      </rPr>
      <t>Spicy Tuna Roll</t>
    </r>
  </si>
  <si>
    <r>
      <t>Dessert</t>
    </r>
    <r>
      <rPr>
        <sz val="12"/>
        <color rgb="FF383A37"/>
        <rFont val="Georgia"/>
        <family val="1"/>
      </rPr>
      <t>Persimmon Rice Pudding</t>
    </r>
  </si>
  <si>
    <r>
      <t>Hop Aroma/Flavor</t>
    </r>
    <r>
      <rPr>
        <sz val="12"/>
        <color rgb="FF383A37"/>
        <rFont val="Georgia"/>
        <family val="1"/>
      </rPr>
      <t>Hop aroma is high and hop flavor is strong both with floral qualities and citrus-like, piney, resinous or sulfur-like American-variety hop character. Hop bitterness is medium-high to very high</t>
    </r>
  </si>
  <si>
    <r>
      <t>Common Hop Ingredients</t>
    </r>
    <r>
      <rPr>
        <sz val="12"/>
        <color rgb="FF383A37"/>
        <rFont val="Georgia"/>
        <family val="1"/>
      </rPr>
      <t>Centennial, Simcoe, Amarillo</t>
    </r>
  </si>
  <si>
    <r>
      <t>Common Malt Ingredients</t>
    </r>
    <r>
      <rPr>
        <sz val="12"/>
        <color rgb="FF383A37"/>
        <rFont val="Georgia"/>
        <family val="1"/>
      </rPr>
      <t>American Two-Row</t>
    </r>
  </si>
  <si>
    <r>
      <t>Palate Body</t>
    </r>
    <r>
      <rPr>
        <sz val="12"/>
        <color rgb="FF383A37"/>
        <rFont val="Georgia"/>
        <family val="1"/>
      </rPr>
      <t>Soft to Sticky</t>
    </r>
  </si>
  <si>
    <r>
      <t>Palate Length/Finish</t>
    </r>
    <r>
      <rPr>
        <sz val="12"/>
        <color rgb="FF383A37"/>
        <rFont val="Georgia"/>
        <family val="1"/>
      </rPr>
      <t>Medium to Long</t>
    </r>
  </si>
  <si>
    <r>
      <t>Water Type</t>
    </r>
    <r>
      <rPr>
        <sz val="12"/>
        <color rgb="FF383A37"/>
        <rFont val="Georgia"/>
        <family val="1"/>
      </rPr>
      <t>High mineral content</t>
    </r>
  </si>
  <si>
    <r>
      <t>Esters</t>
    </r>
    <r>
      <rPr>
        <sz val="12"/>
        <color rgb="FF383A37"/>
        <rFont val="Georgia"/>
        <family val="1"/>
      </rPr>
      <t>Citrus, Tropical Fruit, Pine</t>
    </r>
  </si>
  <si>
    <r>
      <t>OG</t>
    </r>
    <r>
      <rPr>
        <sz val="12"/>
        <color rgb="FF383A37"/>
        <rFont val="Georgia"/>
        <family val="1"/>
      </rPr>
      <t>1.050 - 1.064</t>
    </r>
  </si>
  <si>
    <r>
      <t>ABV</t>
    </r>
    <r>
      <rPr>
        <sz val="12"/>
        <color rgb="FF383A37"/>
        <rFont val="Georgia"/>
        <family val="1"/>
      </rPr>
      <t>5.1% - 7.1%</t>
    </r>
  </si>
  <si>
    <r>
      <t>IBU</t>
    </r>
    <r>
      <rPr>
        <sz val="12"/>
        <color rgb="FF383A37"/>
        <rFont val="Georgia"/>
        <family val="1"/>
      </rPr>
      <t>35 - 63</t>
    </r>
  </si>
  <si>
    <r>
      <t>BU:GU</t>
    </r>
    <r>
      <rPr>
        <sz val="12"/>
        <color rgb="FF383A37"/>
        <rFont val="Georgia"/>
        <family val="1"/>
      </rPr>
      <t>0.70 - 0.98</t>
    </r>
  </si>
  <si>
    <r>
      <t>Apparent Attenuation</t>
    </r>
    <r>
      <rPr>
        <sz val="12"/>
        <color rgb="FF383A37"/>
        <rFont val="Georgia"/>
        <family val="1"/>
      </rPr>
      <t>72 - 76</t>
    </r>
  </si>
  <si>
    <r>
      <t>Alcohol</t>
    </r>
    <r>
      <rPr>
        <sz val="12"/>
        <color rgb="FF383A37"/>
        <rFont val="Georgia"/>
        <family val="1"/>
      </rPr>
      <t>Not Detectable to Noticeable</t>
    </r>
  </si>
  <si>
    <r>
      <t>Cheese</t>
    </r>
    <r>
      <rPr>
        <sz val="12"/>
        <color rgb="FF383A37"/>
        <rFont val="Georgia"/>
        <family val="1"/>
      </rPr>
      <t>Aged Cheddar</t>
    </r>
  </si>
  <si>
    <r>
      <t>Entrée</t>
    </r>
    <r>
      <rPr>
        <sz val="12"/>
        <color rgb="FF383A37"/>
        <rFont val="Georgia"/>
        <family val="1"/>
      </rPr>
      <t>Fettuccine Alfredo</t>
    </r>
  </si>
  <si>
    <r>
      <t>Dessert</t>
    </r>
    <r>
      <rPr>
        <sz val="12"/>
        <color rgb="FF383A37"/>
        <rFont val="Georgia"/>
        <family val="1"/>
      </rPr>
      <t>Ginger Spice Cake</t>
    </r>
  </si>
  <si>
    <r>
      <t>Hop Aroma/Flavor</t>
    </r>
    <r>
      <rPr>
        <sz val="12"/>
        <color rgb="FF383A37"/>
        <rFont val="Georgia"/>
        <family val="1"/>
      </rPr>
      <t>Hop aroma is medium to high, often flowery. Hop flavor and bitterness are medium to high. Earthy and herbal English-variety hop character is perceived, but may be a result of the skillful use of hops of other national origins</t>
    </r>
  </si>
  <si>
    <r>
      <t>Common Hop Ingredients</t>
    </r>
    <r>
      <rPr>
        <sz val="12"/>
        <color rgb="FF383A37"/>
        <rFont val="Georgia"/>
        <family val="1"/>
      </rPr>
      <t>Varies</t>
    </r>
  </si>
  <si>
    <r>
      <t>Malt Aroma/Flavor</t>
    </r>
    <r>
      <rPr>
        <sz val="12"/>
        <color rgb="FF383A37"/>
        <rFont val="Georgia"/>
        <family val="1"/>
      </rPr>
      <t>Bready, Biscuit, Toast, Caramel, Toffee</t>
    </r>
  </si>
  <si>
    <r>
      <t>Common Malt Ingredients</t>
    </r>
    <r>
      <rPr>
        <sz val="12"/>
        <color rgb="FF383A37"/>
        <rFont val="Georgia"/>
        <family val="1"/>
      </rPr>
      <t>British Pale Ale, Crystal, Biscuit</t>
    </r>
  </si>
  <si>
    <r>
      <t>Water Type</t>
    </r>
    <r>
      <rPr>
        <sz val="12"/>
        <color rgb="FF383A37"/>
        <rFont val="Georgia"/>
        <family val="1"/>
      </rPr>
      <t>High mineral content. May include subtle sulfur content</t>
    </r>
  </si>
  <si>
    <r>
      <t>Esters</t>
    </r>
    <r>
      <rPr>
        <sz val="12"/>
        <color rgb="FF383A37"/>
        <rFont val="Georgia"/>
        <family val="1"/>
      </rPr>
      <t>Fruity ester aromas are moderate to very strong</t>
    </r>
  </si>
  <si>
    <r>
      <t>Fermentation Byproducts</t>
    </r>
    <r>
      <rPr>
        <sz val="12"/>
        <color rgb="FF383A37"/>
        <rFont val="Georgia"/>
        <family val="1"/>
      </rPr>
      <t>Diacetyl can be absent or may be perceived at very low levels</t>
    </r>
  </si>
  <si>
    <r>
      <t>OG</t>
    </r>
    <r>
      <rPr>
        <sz val="12"/>
        <color rgb="FF383A37"/>
        <rFont val="Georgia"/>
        <family val="1"/>
      </rPr>
      <t>1.075 - 1.100</t>
    </r>
  </si>
  <si>
    <r>
      <t>ABV</t>
    </r>
    <r>
      <rPr>
        <sz val="12"/>
        <color rgb="FF383A37"/>
        <rFont val="Georgia"/>
        <family val="1"/>
      </rPr>
      <t>7.6% - 10.6%</t>
    </r>
  </si>
  <si>
    <r>
      <t>IBU</t>
    </r>
    <r>
      <rPr>
        <sz val="12"/>
        <color rgb="FF383A37"/>
        <rFont val="Georgia"/>
        <family val="1"/>
      </rPr>
      <t>65 - 100</t>
    </r>
  </si>
  <si>
    <r>
      <t>BU:GU</t>
    </r>
    <r>
      <rPr>
        <sz val="12"/>
        <color rgb="FF383A37"/>
        <rFont val="Georgia"/>
        <family val="1"/>
      </rPr>
      <t>0.87 - 1.00</t>
    </r>
  </si>
  <si>
    <r>
      <t>SRM</t>
    </r>
    <r>
      <rPr>
        <sz val="12"/>
        <color rgb="FF383A37"/>
        <rFont val="Georgia"/>
        <family val="1"/>
      </rPr>
      <t>5 - 16</t>
    </r>
  </si>
  <si>
    <r>
      <t>Apparent Attenuation</t>
    </r>
    <r>
      <rPr>
        <sz val="12"/>
        <color rgb="FF383A37"/>
        <rFont val="Georgia"/>
        <family val="1"/>
      </rPr>
      <t>80 - 84</t>
    </r>
  </si>
  <si>
    <r>
      <t>Alcohol</t>
    </r>
    <r>
      <rPr>
        <sz val="12"/>
        <color rgb="FF383A37"/>
        <rFont val="Georgia"/>
        <family val="1"/>
      </rPr>
      <t>Noticeable</t>
    </r>
  </si>
  <si>
    <r>
      <t>Clarity</t>
    </r>
    <r>
      <rPr>
        <sz val="12"/>
        <color rgb="FF383A37"/>
        <rFont val="Georgia"/>
        <family val="1"/>
      </rPr>
      <t>Clear to Hazy</t>
    </r>
  </si>
  <si>
    <r>
      <t>Color</t>
    </r>
    <r>
      <rPr>
        <sz val="12"/>
        <color rgb="FF383A37"/>
        <rFont val="Georgia"/>
        <family val="1"/>
      </rPr>
      <t>Gold to Light Brown</t>
    </r>
  </si>
  <si>
    <r>
      <t>Cheese</t>
    </r>
    <r>
      <rPr>
        <sz val="12"/>
        <color rgb="FF383A37"/>
        <rFont val="Georgia"/>
        <family val="1"/>
      </rPr>
      <t>Rich Cheeses</t>
    </r>
  </si>
  <si>
    <r>
      <t>Entrée</t>
    </r>
    <r>
      <rPr>
        <sz val="12"/>
        <color rgb="FF383A37"/>
        <rFont val="Georgia"/>
        <family val="1"/>
      </rPr>
      <t>Bone-In Pork Chops, Miso Salmon</t>
    </r>
  </si>
  <si>
    <r>
      <t>Dessert</t>
    </r>
    <r>
      <rPr>
        <sz val="12"/>
        <color rgb="FF383A37"/>
        <rFont val="Georgia"/>
        <family val="1"/>
      </rPr>
      <t>Carrot Cake</t>
    </r>
  </si>
  <si>
    <r>
      <t>Hop Aroma/Flavor</t>
    </r>
    <r>
      <rPr>
        <sz val="12"/>
        <color rgb="FF383A37"/>
        <rFont val="Georgia"/>
        <family val="1"/>
      </rPr>
      <t>Hop flavor and aroma are very high, should be fresh and lively and should not be harsh in quality, deriving from any variety of hops. Hop bitterness is very high but not harsh</t>
    </r>
  </si>
  <si>
    <r>
      <t>Malt Aroma/Flavor</t>
    </r>
    <r>
      <rPr>
        <sz val="12"/>
        <color rgb="FF383A37"/>
        <rFont val="Georgia"/>
        <family val="1"/>
      </rPr>
      <t>Malt character is medium to high</t>
    </r>
  </si>
  <si>
    <r>
      <t>Common Malt Ingredients</t>
    </r>
    <r>
      <rPr>
        <sz val="12"/>
        <color rgb="FF383A37"/>
        <rFont val="Georgia"/>
        <family val="1"/>
      </rPr>
      <t>American Two-Row, Crystal, Malted Wheat</t>
    </r>
  </si>
  <si>
    <r>
      <t>Palate Length/Finish</t>
    </r>
    <r>
      <rPr>
        <sz val="12"/>
        <color rgb="FF383A37"/>
        <rFont val="Georgia"/>
        <family val="1"/>
      </rPr>
      <t>Long</t>
    </r>
  </si>
  <si>
    <r>
      <t>Esters</t>
    </r>
    <r>
      <rPr>
        <sz val="12"/>
        <color rgb="FF383A37"/>
        <rFont val="Georgia"/>
        <family val="1"/>
      </rPr>
      <t>Fruity ester aroma and flavor are high.</t>
    </r>
  </si>
  <si>
    <r>
      <t>OG</t>
    </r>
    <r>
      <rPr>
        <sz val="12"/>
        <color rgb="FF383A37"/>
        <rFont val="Georgia"/>
        <family val="1"/>
      </rPr>
      <t>1.060 - 1.070</t>
    </r>
  </si>
  <si>
    <r>
      <t>ABV</t>
    </r>
    <r>
      <rPr>
        <sz val="12"/>
        <color rgb="FF383A37"/>
        <rFont val="Georgia"/>
        <family val="1"/>
      </rPr>
      <t>6.3%-7.5%</t>
    </r>
  </si>
  <si>
    <r>
      <t>BU:GU</t>
    </r>
    <r>
      <rPr>
        <sz val="12"/>
        <color rgb="FF383A37"/>
        <rFont val="Georgia"/>
        <family val="1"/>
      </rPr>
      <t>-</t>
    </r>
  </si>
  <si>
    <r>
      <t>SRM</t>
    </r>
    <r>
      <rPr>
        <sz val="12"/>
        <color rgb="FF383A37"/>
        <rFont val="Georgia"/>
        <family val="1"/>
      </rPr>
      <t>4-7</t>
    </r>
  </si>
  <si>
    <r>
      <t>Apparent Attenuation</t>
    </r>
    <r>
      <rPr>
        <sz val="12"/>
        <color rgb="FF383A37"/>
        <rFont val="Georgia"/>
        <family val="1"/>
      </rPr>
      <t>73 - 89</t>
    </r>
  </si>
  <si>
    <r>
      <t>Clarity</t>
    </r>
    <r>
      <rPr>
        <sz val="12"/>
        <color rgb="FF383A37"/>
        <rFont val="Georgia"/>
        <family val="1"/>
      </rPr>
      <t>Hazy</t>
    </r>
  </si>
  <si>
    <r>
      <t>Brewing/Conditioning Process</t>
    </r>
    <r>
      <rPr>
        <sz val="12"/>
        <color rgb="FF383A37"/>
        <rFont val="Georgia"/>
        <family val="1"/>
      </rPr>
      <t>Late hopping and Dry Hopping is common, along with the use of wheat and oats.</t>
    </r>
  </si>
  <si>
    <r>
      <t>Cheese</t>
    </r>
    <r>
      <rPr>
        <sz val="12"/>
        <color rgb="FF383A37"/>
        <rFont val="Georgia"/>
        <family val="1"/>
      </rPr>
      <t>Goat Blue</t>
    </r>
  </si>
  <si>
    <r>
      <t>Entrée</t>
    </r>
    <r>
      <rPr>
        <sz val="12"/>
        <color rgb="FF383A37"/>
        <rFont val="Georgia"/>
        <family val="1"/>
      </rPr>
      <t>Hawaiian Pork Tenderloin</t>
    </r>
  </si>
  <si>
    <r>
      <t>Dessert</t>
    </r>
    <r>
      <rPr>
        <sz val="12"/>
        <color rgb="FF383A37"/>
        <rFont val="Georgia"/>
        <family val="1"/>
      </rPr>
      <t>Macha Creme Brulee</t>
    </r>
  </si>
  <si>
    <r>
      <t>Hop Aroma/Flavor</t>
    </r>
    <r>
      <rPr>
        <sz val="12"/>
        <color rgb="FF383A37"/>
        <rFont val="Georgia"/>
        <family val="1"/>
      </rPr>
      <t>Medium-high to very high hop aroma and flavor are present, with attributes typical of hops from any origin. Descriptors such as "juicy" are often used to describe the taste and aroma hop-derived attributes present in these beers.</t>
    </r>
  </si>
  <si>
    <r>
      <t>Common Hop Ingredients</t>
    </r>
    <r>
      <rPr>
        <sz val="12"/>
        <color rgb="FF383A37"/>
        <rFont val="Georgia"/>
        <family val="1"/>
      </rPr>
      <t>Citra, Mosaic, Velma</t>
    </r>
  </si>
  <si>
    <r>
      <t>Malt Aroma/Flavor</t>
    </r>
    <r>
      <rPr>
        <sz val="12"/>
        <color rgb="FF383A37"/>
        <rFont val="Georgia"/>
        <family val="1"/>
      </rPr>
      <t>Neutral, grainy, biscuit</t>
    </r>
  </si>
  <si>
    <r>
      <t>Common Malt Ingredients</t>
    </r>
    <r>
      <rPr>
        <sz val="12"/>
        <color rgb="FF383A37"/>
        <rFont val="Georgia"/>
        <family val="1"/>
      </rPr>
      <t>A variety of English and American base malts can be used</t>
    </r>
  </si>
  <si>
    <r>
      <t>Other ingredients</t>
    </r>
    <r>
      <rPr>
        <sz val="12"/>
        <color rgb="FF383A37"/>
        <rFont val="Georgia"/>
        <family val="1"/>
      </rPr>
      <t>Oats or Wheat</t>
    </r>
  </si>
  <si>
    <r>
      <t>Palate Body</t>
    </r>
    <r>
      <rPr>
        <sz val="12"/>
        <color rgb="FF383A37"/>
        <rFont val="Georgia"/>
        <family val="1"/>
      </rPr>
      <t>Soft to Mouth-coating</t>
    </r>
  </si>
  <si>
    <r>
      <t>Water Type</t>
    </r>
    <r>
      <rPr>
        <sz val="12"/>
        <color rgb="FF383A37"/>
        <rFont val="Georgia"/>
        <family val="1"/>
      </rPr>
      <t>Chloride additions possible</t>
    </r>
  </si>
  <si>
    <r>
      <t>Esters</t>
    </r>
    <r>
      <rPr>
        <sz val="12"/>
        <color rgb="FF383A37"/>
        <rFont val="Georgia"/>
        <family val="1"/>
      </rPr>
      <t>Peach</t>
    </r>
  </si>
  <si>
    <r>
      <t>OG</t>
    </r>
    <r>
      <rPr>
        <sz val="12"/>
        <color rgb="FF383A37"/>
        <rFont val="Georgia"/>
        <family val="1"/>
      </rPr>
      <t>1.088 - 1.120</t>
    </r>
  </si>
  <si>
    <r>
      <t>FG</t>
    </r>
    <r>
      <rPr>
        <sz val="12"/>
        <color rgb="FF383A37"/>
        <rFont val="Georgia"/>
        <family val="1"/>
      </rPr>
      <t>1.024 - 1.032</t>
    </r>
  </si>
  <si>
    <r>
      <t>ABV</t>
    </r>
    <r>
      <rPr>
        <sz val="12"/>
        <color rgb="FF383A37"/>
        <rFont val="Georgia"/>
        <family val="1"/>
      </rPr>
      <t>8.5% - 12.2%</t>
    </r>
  </si>
  <si>
    <r>
      <t>IBU</t>
    </r>
    <r>
      <rPr>
        <sz val="12"/>
        <color rgb="FF383A37"/>
        <rFont val="Georgia"/>
        <family val="1"/>
      </rPr>
      <t>45 - 85</t>
    </r>
  </si>
  <si>
    <r>
      <t>BU:GU</t>
    </r>
    <r>
      <rPr>
        <sz val="12"/>
        <color rgb="FF383A37"/>
        <rFont val="Georgia"/>
        <family val="1"/>
      </rPr>
      <t>0.51 - 0.71</t>
    </r>
  </si>
  <si>
    <r>
      <t>SRM</t>
    </r>
    <r>
      <rPr>
        <sz val="12"/>
        <color rgb="FF383A37"/>
        <rFont val="Georgia"/>
        <family val="1"/>
      </rPr>
      <t>5 - 15</t>
    </r>
  </si>
  <si>
    <r>
      <t>Apparent Attenuation</t>
    </r>
    <r>
      <rPr>
        <sz val="12"/>
        <color rgb="FF383A37"/>
        <rFont val="Georgia"/>
        <family val="1"/>
      </rPr>
      <t>73 - 73</t>
    </r>
  </si>
  <si>
    <r>
      <t>Alcohol</t>
    </r>
    <r>
      <rPr>
        <sz val="12"/>
        <color rgb="FF383A37"/>
        <rFont val="Georgia"/>
        <family val="1"/>
      </rPr>
      <t>Noticeable to Harsh</t>
    </r>
  </si>
  <si>
    <r>
      <t>Clarity</t>
    </r>
    <r>
      <rPr>
        <sz val="12"/>
        <color rgb="FF383A37"/>
        <rFont val="Georgia"/>
        <family val="1"/>
      </rPr>
      <t>Slight Haze</t>
    </r>
  </si>
  <si>
    <r>
      <t>Cheese</t>
    </r>
    <r>
      <rPr>
        <sz val="12"/>
        <color rgb="FF383A37"/>
        <rFont val="Georgia"/>
        <family val="1"/>
      </rPr>
      <t>Asiago</t>
    </r>
  </si>
  <si>
    <r>
      <t>Entrée</t>
    </r>
    <r>
      <rPr>
        <sz val="12"/>
        <color rgb="FF383A37"/>
        <rFont val="Georgia"/>
        <family val="1"/>
      </rPr>
      <t>Smoked Trout</t>
    </r>
  </si>
  <si>
    <r>
      <t>Dessert</t>
    </r>
    <r>
      <rPr>
        <sz val="12"/>
        <color rgb="FF383A37"/>
        <rFont val="Georgia"/>
        <family val="1"/>
      </rPr>
      <t>Peach Sorbet</t>
    </r>
  </si>
  <si>
    <r>
      <t>Glass</t>
    </r>
    <r>
      <rPr>
        <sz val="12"/>
        <color rgb="FF383A37"/>
        <rFont val="Georgia"/>
        <family val="1"/>
      </rPr>
      <t>Snifter</t>
    </r>
  </si>
  <si>
    <r>
      <t>Hop Aroma/Flavor</t>
    </r>
    <r>
      <rPr>
        <sz val="12"/>
        <color rgb="FF383A37"/>
        <rFont val="Georgia"/>
        <family val="1"/>
      </rPr>
      <t>Hop aroma and flavor are low to medium. Hop bitterness is medium to medium-high</t>
    </r>
  </si>
  <si>
    <r>
      <t>Malt Aroma/Flavor</t>
    </r>
    <r>
      <rPr>
        <sz val="12"/>
        <color rgb="FF383A37"/>
        <rFont val="Georgia"/>
        <family val="1"/>
      </rPr>
      <t>Bready, wheat, honey-like and/or caramel malt aromas are often present</t>
    </r>
  </si>
  <si>
    <r>
      <t>Common Malt Ingredients</t>
    </r>
    <r>
      <rPr>
        <sz val="12"/>
        <color rgb="FF383A37"/>
        <rFont val="Georgia"/>
        <family val="1"/>
      </rPr>
      <t>At least 50 percent Malted Wheat</t>
    </r>
  </si>
  <si>
    <r>
      <t>Esters</t>
    </r>
    <r>
      <rPr>
        <sz val="12"/>
        <color rgb="FF383A37"/>
        <rFont val="Georgia"/>
        <family val="1"/>
      </rPr>
      <t>Fruity-ester aroma is often high and counterbalanced with complex alcohol character</t>
    </r>
  </si>
  <si>
    <r>
      <t>OG</t>
    </r>
    <r>
      <rPr>
        <sz val="12"/>
        <color rgb="FF383A37"/>
        <rFont val="Georgia"/>
        <family val="1"/>
      </rPr>
      <t>1.036 - 1.056</t>
    </r>
  </si>
  <si>
    <r>
      <t>FG</t>
    </r>
    <r>
      <rPr>
        <sz val="12"/>
        <color rgb="FF383A37"/>
        <rFont val="Georgia"/>
        <family val="1"/>
      </rPr>
      <t>1.004 - 1.018</t>
    </r>
  </si>
  <si>
    <r>
      <t>ABV</t>
    </r>
    <r>
      <rPr>
        <sz val="12"/>
        <color rgb="FF383A37"/>
        <rFont val="Georgia"/>
        <family val="1"/>
      </rPr>
      <t>3.5% - 5.6%</t>
    </r>
  </si>
  <si>
    <r>
      <t>IBU</t>
    </r>
    <r>
      <rPr>
        <sz val="12"/>
        <color rgb="FF383A37"/>
        <rFont val="Georgia"/>
        <family val="1"/>
      </rPr>
      <t>10 - 35</t>
    </r>
  </si>
  <si>
    <r>
      <t>BU:GU</t>
    </r>
    <r>
      <rPr>
        <sz val="12"/>
        <color rgb="FF383A37"/>
        <rFont val="Georgia"/>
        <family val="1"/>
      </rPr>
      <t>0.28 - 0.62</t>
    </r>
  </si>
  <si>
    <r>
      <t>SRM</t>
    </r>
    <r>
      <rPr>
        <sz val="12"/>
        <color rgb="FF383A37"/>
        <rFont val="Georgia"/>
        <family val="1"/>
      </rPr>
      <t>2 - 10</t>
    </r>
  </si>
  <si>
    <r>
      <t>Apparent Attenuation</t>
    </r>
    <r>
      <rPr>
        <sz val="12"/>
        <color rgb="FF383A37"/>
        <rFont val="Georgia"/>
        <family val="1"/>
      </rPr>
      <t>68 - 89</t>
    </r>
  </si>
  <si>
    <r>
      <t>Brewing/Conditioning Process</t>
    </r>
    <r>
      <rPr>
        <sz val="12"/>
        <color rgb="FF383A37"/>
        <rFont val="Georgia"/>
        <family val="1"/>
      </rPr>
      <t>Brewed with wheat malt</t>
    </r>
  </si>
  <si>
    <r>
      <t>Cheese</t>
    </r>
    <r>
      <rPr>
        <sz val="12"/>
        <color rgb="FF383A37"/>
        <rFont val="Georgia"/>
        <family val="1"/>
      </rPr>
      <t>Chèvre</t>
    </r>
  </si>
  <si>
    <r>
      <t>Entrée</t>
    </r>
    <r>
      <rPr>
        <sz val="12"/>
        <color rgb="FF383A37"/>
        <rFont val="Georgia"/>
        <family val="1"/>
      </rPr>
      <t>Salads, Seafood</t>
    </r>
  </si>
  <si>
    <r>
      <t>Hop Aroma/Flavor</t>
    </r>
    <r>
      <rPr>
        <sz val="12"/>
        <color rgb="FF383A37"/>
        <rFont val="Georgia"/>
        <family val="1"/>
      </rPr>
      <t>Hop aroma, flavor and bitterness are low to medium</t>
    </r>
  </si>
  <si>
    <r>
      <t>Common Hop Ingredients</t>
    </r>
    <r>
      <rPr>
        <sz val="12"/>
        <color rgb="FF383A37"/>
        <rFont val="Georgia"/>
        <family val="1"/>
      </rPr>
      <t>Willamette, Centennial</t>
    </r>
  </si>
  <si>
    <r>
      <t>Malt Aroma/Flavor</t>
    </r>
    <r>
      <rPr>
        <sz val="12"/>
        <color rgb="FF383A37"/>
        <rFont val="Georgia"/>
        <family val="1"/>
      </rPr>
      <t>Grainy Wheat</t>
    </r>
  </si>
  <si>
    <r>
      <t>Common Malt Ingredients</t>
    </r>
    <r>
      <rPr>
        <sz val="12"/>
        <color rgb="FF383A37"/>
        <rFont val="Georgia"/>
        <family val="1"/>
      </rPr>
      <t>Malted Wheat, American Two-Row</t>
    </r>
  </si>
  <si>
    <r>
      <t>Palate Length/Finish</t>
    </r>
    <r>
      <rPr>
        <sz val="12"/>
        <color rgb="FF383A37"/>
        <rFont val="Georgia"/>
        <family val="1"/>
      </rPr>
      <t>Varies</t>
    </r>
  </si>
  <si>
    <r>
      <t>Serving Temperature</t>
    </r>
    <r>
      <rPr>
        <sz val="12"/>
        <color rgb="FF383A37"/>
        <rFont val="Georgia"/>
        <family val="1"/>
      </rPr>
      <t>40-45°F</t>
    </r>
  </si>
  <si>
    <r>
      <t>Phenols</t>
    </r>
    <r>
      <rPr>
        <sz val="12"/>
        <color rgb="FF383A37"/>
        <rFont val="Georgia"/>
        <family val="1"/>
      </rPr>
      <t>Can be present</t>
    </r>
  </si>
  <si>
    <r>
      <t>Esters</t>
    </r>
    <r>
      <rPr>
        <sz val="12"/>
        <color rgb="FF383A37"/>
        <rFont val="Georgia"/>
        <family val="1"/>
      </rPr>
      <t>Can be present</t>
    </r>
  </si>
  <si>
    <r>
      <t>Fermentation Byproducts</t>
    </r>
    <r>
      <rPr>
        <sz val="12"/>
        <color rgb="FF383A37"/>
        <rFont val="Georgia"/>
        <family val="1"/>
      </rPr>
      <t>Very low levels of diacetyl may be acceptable</t>
    </r>
  </si>
  <si>
    <r>
      <t>FG</t>
    </r>
    <r>
      <rPr>
        <sz val="12"/>
        <color rgb="FF383A37"/>
        <rFont val="Georgia"/>
        <family val="1"/>
      </rPr>
      <t>1.006 - 1.010</t>
    </r>
  </si>
  <si>
    <r>
      <t>ABV</t>
    </r>
    <r>
      <rPr>
        <sz val="12"/>
        <color rgb="FF383A37"/>
        <rFont val="Georgia"/>
        <family val="1"/>
      </rPr>
      <t>4.8% - 5.6%</t>
    </r>
  </si>
  <si>
    <r>
      <t>IBU</t>
    </r>
    <r>
      <rPr>
        <sz val="12"/>
        <color rgb="FF383A37"/>
        <rFont val="Georgia"/>
        <family val="1"/>
      </rPr>
      <t>10 - 17</t>
    </r>
  </si>
  <si>
    <r>
      <t>BU:GU</t>
    </r>
    <r>
      <rPr>
        <sz val="12"/>
        <color rgb="FF383A37"/>
        <rFont val="Georgia"/>
        <family val="1"/>
      </rPr>
      <t>0.23 - 0.34</t>
    </r>
  </si>
  <si>
    <r>
      <t>SRM</t>
    </r>
    <r>
      <rPr>
        <sz val="12"/>
        <color rgb="FF383A37"/>
        <rFont val="Georgia"/>
        <family val="1"/>
      </rPr>
      <t>2 - 4</t>
    </r>
  </si>
  <si>
    <r>
      <t>Apparent Attenuation</t>
    </r>
    <r>
      <rPr>
        <sz val="12"/>
        <color rgb="FF383A37"/>
        <rFont val="Georgia"/>
        <family val="1"/>
      </rPr>
      <t>80 - 86</t>
    </r>
  </si>
  <si>
    <r>
      <t>Carbonation (Visual)</t>
    </r>
    <r>
      <rPr>
        <sz val="12"/>
        <color rgb="FF383A37"/>
        <rFont val="Georgia"/>
        <family val="1"/>
      </rPr>
      <t>Fast Rising Bubbles</t>
    </r>
  </si>
  <si>
    <r>
      <t>Brewing/Conditioning Process</t>
    </r>
    <r>
      <rPr>
        <sz val="12"/>
        <color rgb="FF383A37"/>
        <rFont val="Georgia"/>
        <family val="1"/>
      </rPr>
      <t>Often bottle-conditioned</t>
    </r>
  </si>
  <si>
    <r>
      <t>Color</t>
    </r>
    <r>
      <rPr>
        <sz val="12"/>
        <color rgb="FF383A37"/>
        <rFont val="Georgia"/>
        <family val="1"/>
      </rPr>
      <t>Straw to Pale</t>
    </r>
  </si>
  <si>
    <r>
      <t>Country of Origin</t>
    </r>
    <r>
      <rPr>
        <sz val="12"/>
        <color rgb="FF383A37"/>
        <rFont val="Georgia"/>
        <family val="1"/>
      </rPr>
      <t>Belgium</t>
    </r>
  </si>
  <si>
    <r>
      <t>Cheese</t>
    </r>
    <r>
      <rPr>
        <sz val="12"/>
        <color rgb="FF383A37"/>
        <rFont val="Georgia"/>
        <family val="1"/>
      </rPr>
      <t>Mascarpone</t>
    </r>
  </si>
  <si>
    <r>
      <t>Entrée</t>
    </r>
    <r>
      <rPr>
        <sz val="12"/>
        <color rgb="FF383A37"/>
        <rFont val="Georgia"/>
        <family val="1"/>
      </rPr>
      <t>Moules and Frites</t>
    </r>
  </si>
  <si>
    <r>
      <t>Dessert</t>
    </r>
    <r>
      <rPr>
        <sz val="12"/>
        <color rgb="FF383A37"/>
        <rFont val="Georgia"/>
        <family val="1"/>
      </rPr>
      <t>Panna Cotta</t>
    </r>
  </si>
  <si>
    <r>
      <t>Hop Aroma/Flavor</t>
    </r>
    <r>
      <rPr>
        <sz val="12"/>
        <color rgb="FF383A37"/>
        <rFont val="Georgia"/>
        <family val="1"/>
      </rPr>
      <t>Hop flavor and aroma are not perceived to low. Hop bitterness is low, achieved traditionally by the use of noble-type hops</t>
    </r>
  </si>
  <si>
    <r>
      <t>Malt Aroma/Flavor</t>
    </r>
    <r>
      <rPr>
        <sz val="12"/>
        <color rgb="FF383A37"/>
        <rFont val="Georgia"/>
        <family val="1"/>
      </rPr>
      <t>Malt aroma and flavor are very low to low</t>
    </r>
  </si>
  <si>
    <r>
      <t>Common Malt Ingredients</t>
    </r>
    <r>
      <rPr>
        <sz val="12"/>
        <color rgb="FF383A37"/>
        <rFont val="Georgia"/>
        <family val="1"/>
      </rPr>
      <t>Pilsner, Flaked Wheat, Unmalted Wheat, and occasionally oats and malted barley</t>
    </r>
  </si>
  <si>
    <r>
      <t>Other ingredients</t>
    </r>
    <r>
      <rPr>
        <sz val="12"/>
        <color rgb="FF383A37"/>
        <rFont val="Georgia"/>
        <family val="1"/>
      </rPr>
      <t>Orange Peel, Coriander Seed</t>
    </r>
  </si>
  <si>
    <r>
      <t>Palate Body</t>
    </r>
    <r>
      <rPr>
        <sz val="12"/>
        <color rgb="FF383A37"/>
        <rFont val="Georgia"/>
        <family val="1"/>
      </rPr>
      <t>Drying</t>
    </r>
  </si>
  <si>
    <r>
      <t>Palate Carbonation</t>
    </r>
    <r>
      <rPr>
        <sz val="12"/>
        <color rgb="FF383A37"/>
        <rFont val="Georgia"/>
        <family val="1"/>
      </rPr>
      <t>High</t>
    </r>
  </si>
  <si>
    <r>
      <t>Phenols</t>
    </r>
    <r>
      <rPr>
        <sz val="12"/>
        <color rgb="FF383A37"/>
        <rFont val="Georgia"/>
        <family val="1"/>
      </rPr>
      <t>Spicy, Pepper</t>
    </r>
  </si>
  <si>
    <r>
      <t>Esters</t>
    </r>
    <r>
      <rPr>
        <sz val="12"/>
        <color rgb="FF383A37"/>
        <rFont val="Georgia"/>
        <family val="1"/>
      </rPr>
      <t>Orange, Citrus</t>
    </r>
  </si>
  <si>
    <r>
      <t>Fermentation Byproducts</t>
    </r>
    <r>
      <rPr>
        <sz val="12"/>
        <color rgb="FF383A37"/>
        <rFont val="Georgia"/>
        <family val="1"/>
      </rPr>
      <t>Unfiltered starch and yeast haze should be part of the appearance. Wits are traditionally bottle-conditioned and served cloudy</t>
    </r>
  </si>
  <si>
    <r>
      <t>OG</t>
    </r>
    <r>
      <rPr>
        <sz val="12"/>
        <color rgb="FF383A37"/>
        <rFont val="Georgia"/>
        <family val="1"/>
      </rPr>
      <t>1.028 - 1.032</t>
    </r>
  </si>
  <si>
    <r>
      <t>FG</t>
    </r>
    <r>
      <rPr>
        <sz val="12"/>
        <color rgb="FF383A37"/>
        <rFont val="Georgia"/>
        <family val="1"/>
      </rPr>
      <t>1.004 - 1.006</t>
    </r>
  </si>
  <si>
    <r>
      <t>ABV</t>
    </r>
    <r>
      <rPr>
        <sz val="12"/>
        <color rgb="FF383A37"/>
        <rFont val="Georgia"/>
        <family val="1"/>
      </rPr>
      <t>2.8% - 3.4%</t>
    </r>
  </si>
  <si>
    <r>
      <t>IBU</t>
    </r>
    <r>
      <rPr>
        <sz val="12"/>
        <color rgb="FF383A37"/>
        <rFont val="Georgia"/>
        <family val="1"/>
      </rPr>
      <t>3 - 6</t>
    </r>
  </si>
  <si>
    <r>
      <t>BU:GU</t>
    </r>
    <r>
      <rPr>
        <sz val="12"/>
        <color rgb="FF383A37"/>
        <rFont val="Georgia"/>
        <family val="1"/>
      </rPr>
      <t>0.11 - 0.19</t>
    </r>
  </si>
  <si>
    <r>
      <t>CO2 Volumes</t>
    </r>
    <r>
      <rPr>
        <sz val="12"/>
        <color rgb="FF383A37"/>
        <rFont val="Georgia"/>
        <family val="1"/>
      </rPr>
      <t>3.5 - 4</t>
    </r>
  </si>
  <si>
    <r>
      <t>Apparent Attenuation</t>
    </r>
    <r>
      <rPr>
        <sz val="12"/>
        <color rgb="FF383A37"/>
        <rFont val="Georgia"/>
        <family val="1"/>
      </rPr>
      <t>81 - 86</t>
    </r>
  </si>
  <si>
    <r>
      <t>Brewing/Conditioning Process</t>
    </r>
    <r>
      <rPr>
        <sz val="12"/>
        <color rgb="FF383A37"/>
        <rFont val="Georgia"/>
        <family val="1"/>
      </rPr>
      <t>Hops often not boiled and instead added to a decoction mash. Acidity may be introduced from a sour mash, lactic acid additions or acidulated malt</t>
    </r>
  </si>
  <si>
    <r>
      <t>Cheese</t>
    </r>
    <r>
      <rPr>
        <sz val="12"/>
        <color rgb="FF383A37"/>
        <rFont val="Georgia"/>
        <family val="1"/>
      </rPr>
      <t>Havarti</t>
    </r>
  </si>
  <si>
    <r>
      <t>Entrée</t>
    </r>
    <r>
      <rPr>
        <sz val="12"/>
        <color rgb="FF383A37"/>
        <rFont val="Georgia"/>
        <family val="1"/>
      </rPr>
      <t>Aged Ham on Pretzel Bread</t>
    </r>
  </si>
  <si>
    <r>
      <t>Dessert</t>
    </r>
    <r>
      <rPr>
        <sz val="12"/>
        <color rgb="FF383A37"/>
        <rFont val="Georgia"/>
        <family val="1"/>
      </rPr>
      <t>Cheesecake with Raspberries</t>
    </r>
  </si>
  <si>
    <r>
      <t>Glass</t>
    </r>
    <r>
      <rPr>
        <sz val="12"/>
        <color rgb="FF383A37"/>
        <rFont val="Georgia"/>
        <family val="1"/>
      </rPr>
      <t>Goblet</t>
    </r>
  </si>
  <si>
    <r>
      <t>Hop Aroma/Flavor</t>
    </r>
    <r>
      <rPr>
        <sz val="12"/>
        <color rgb="FF383A37"/>
        <rFont val="Georgia"/>
        <family val="1"/>
      </rPr>
      <t>Hop aroma and flavor are not perceived. Hop bitterness is not perceived to very low</t>
    </r>
  </si>
  <si>
    <r>
      <t>Malt Aroma/Flavor</t>
    </r>
    <r>
      <rPr>
        <sz val="12"/>
        <color rgb="FF383A37"/>
        <rFont val="Georgia"/>
        <family val="1"/>
      </rPr>
      <t>Not Perceived</t>
    </r>
  </si>
  <si>
    <r>
      <t>Common Malt Ingredients</t>
    </r>
    <r>
      <rPr>
        <sz val="12"/>
        <color rgb="FF383A37"/>
        <rFont val="Georgia"/>
        <family val="1"/>
      </rPr>
      <t>Pilsner, Malted Wheat</t>
    </r>
  </si>
  <si>
    <r>
      <t>Esters</t>
    </r>
    <r>
      <rPr>
        <sz val="12"/>
        <color rgb="FF383A37"/>
        <rFont val="Georgia"/>
        <family val="1"/>
      </rPr>
      <t>Fruity-ester flavors will be evident</t>
    </r>
  </si>
  <si>
    <r>
      <t>Microorganisms</t>
    </r>
    <r>
      <rPr>
        <sz val="12"/>
        <color rgb="FF383A37"/>
        <rFont val="Georgia"/>
        <family val="1"/>
      </rPr>
      <t>Lactobacillus</t>
    </r>
  </si>
  <si>
    <r>
      <t>IBU</t>
    </r>
    <r>
      <rPr>
        <sz val="12"/>
        <color rgb="FF383A37"/>
        <rFont val="Georgia"/>
        <family val="1"/>
      </rPr>
      <t>10 - 15</t>
    </r>
  </si>
  <si>
    <r>
      <t>BU:GU</t>
    </r>
    <r>
      <rPr>
        <sz val="12"/>
        <color rgb="FF383A37"/>
        <rFont val="Georgia"/>
        <family val="1"/>
      </rPr>
      <t>0.21 - 0.27</t>
    </r>
  </si>
  <si>
    <r>
      <t>SRM</t>
    </r>
    <r>
      <rPr>
        <sz val="12"/>
        <color rgb="FF383A37"/>
        <rFont val="Georgia"/>
        <family val="1"/>
      </rPr>
      <t>10 - 25</t>
    </r>
  </si>
  <si>
    <r>
      <t>CO2 Volumes</t>
    </r>
    <r>
      <rPr>
        <sz val="12"/>
        <color rgb="FF383A37"/>
        <rFont val="Georgia"/>
        <family val="1"/>
      </rPr>
      <t>2.5 - 3</t>
    </r>
  </si>
  <si>
    <r>
      <t>Apparent Attenuation</t>
    </r>
    <r>
      <rPr>
        <sz val="12"/>
        <color rgb="FF383A37"/>
        <rFont val="Georgia"/>
        <family val="1"/>
      </rPr>
      <t>71 - 83</t>
    </r>
  </si>
  <si>
    <r>
      <t>Clarity</t>
    </r>
    <r>
      <rPr>
        <sz val="12"/>
        <color rgb="FF383A37"/>
        <rFont val="Georgia"/>
        <family val="1"/>
      </rPr>
      <t>Slight Haze to Hazy</t>
    </r>
  </si>
  <si>
    <r>
      <t>Color</t>
    </r>
    <r>
      <rPr>
        <sz val="12"/>
        <color rgb="FF383A37"/>
        <rFont val="Georgia"/>
        <family val="1"/>
      </rPr>
      <t>Copper-Brown to Very Dark</t>
    </r>
  </si>
  <si>
    <r>
      <t>Cheese</t>
    </r>
    <r>
      <rPr>
        <sz val="12"/>
        <color rgb="FF383A37"/>
        <rFont val="Georgia"/>
        <family val="1"/>
      </rPr>
      <t>Gouda</t>
    </r>
  </si>
  <si>
    <r>
      <t>Entrée</t>
    </r>
    <r>
      <rPr>
        <sz val="12"/>
        <color rgb="FF383A37"/>
        <rFont val="Georgia"/>
        <family val="1"/>
      </rPr>
      <t>Roasted Chicken</t>
    </r>
  </si>
  <si>
    <r>
      <t>Dessert</t>
    </r>
    <r>
      <rPr>
        <sz val="12"/>
        <color rgb="FF383A37"/>
        <rFont val="Georgia"/>
        <family val="1"/>
      </rPr>
      <t>Banana Cream Pie</t>
    </r>
  </si>
  <si>
    <r>
      <t>Malt Aroma/Flavor</t>
    </r>
    <r>
      <rPr>
        <sz val="12"/>
        <color rgb="FF383A37"/>
        <rFont val="Georgia"/>
        <family val="1"/>
      </rPr>
      <t>Bready or grainy, with a distinct sweet maltiness and a chocolate-like character from roasted malt</t>
    </r>
  </si>
  <si>
    <r>
      <t>Common Malt Ingredients</t>
    </r>
    <r>
      <rPr>
        <sz val="12"/>
        <color rgb="FF383A37"/>
        <rFont val="Georgia"/>
        <family val="1"/>
      </rPr>
      <t>At least 50 percent Malted Wheat, plus Munich, Special "B", Crystal, Carafa Special II</t>
    </r>
  </si>
  <si>
    <r>
      <t>Palate Body</t>
    </r>
    <r>
      <rPr>
        <sz val="12"/>
        <color rgb="FF383A37"/>
        <rFont val="Georgia"/>
        <family val="1"/>
      </rPr>
      <t>Moderate to Mouth-Coating</t>
    </r>
  </si>
  <si>
    <r>
      <t>Type</t>
    </r>
    <r>
      <rPr>
        <sz val="12"/>
        <color rgb="FF383A37"/>
        <rFont val="Georgia"/>
        <family val="1"/>
      </rPr>
      <t>Weizen Ale</t>
    </r>
  </si>
  <si>
    <r>
      <t>Phenols</t>
    </r>
    <r>
      <rPr>
        <sz val="12"/>
        <color rgb="FF383A37"/>
        <rFont val="Georgia"/>
        <family val="1"/>
      </rPr>
      <t>The phenolic flavors of Dunkel Weissbier should be evident but subdued</t>
    </r>
  </si>
  <si>
    <r>
      <t>Esters</t>
    </r>
    <r>
      <rPr>
        <sz val="12"/>
        <color rgb="FF383A37"/>
        <rFont val="Georgia"/>
        <family val="1"/>
      </rPr>
      <t>The ester flavors of Dunkel Weissbier should be evident but subdued</t>
    </r>
  </si>
  <si>
    <r>
      <t>OG</t>
    </r>
    <r>
      <rPr>
        <sz val="12"/>
        <color rgb="FF383A37"/>
        <rFont val="Georgia"/>
        <family val="1"/>
      </rPr>
      <t>1.047 - 1.056</t>
    </r>
  </si>
  <si>
    <r>
      <t>ABV</t>
    </r>
    <r>
      <rPr>
        <sz val="12"/>
        <color rgb="FF383A37"/>
        <rFont val="Georgia"/>
        <family val="1"/>
      </rPr>
      <t>4.9% - 5.6%</t>
    </r>
  </si>
  <si>
    <r>
      <t>SRM</t>
    </r>
    <r>
      <rPr>
        <sz val="12"/>
        <color rgb="FF383A37"/>
        <rFont val="Georgia"/>
        <family val="1"/>
      </rPr>
      <t>3 - 9</t>
    </r>
  </si>
  <si>
    <r>
      <t>Brewing/Conditioning Process</t>
    </r>
    <r>
      <rPr>
        <sz val="12"/>
        <color rgb="FF383A37"/>
        <rFont val="Georgia"/>
        <family val="1"/>
      </rPr>
      <t>A decoction mash is sometimes used</t>
    </r>
  </si>
  <si>
    <r>
      <t>Color</t>
    </r>
    <r>
      <rPr>
        <sz val="12"/>
        <color rgb="FF383A37"/>
        <rFont val="Georgia"/>
        <family val="1"/>
      </rPr>
      <t>Straw to Amber</t>
    </r>
  </si>
  <si>
    <r>
      <t>Entrée</t>
    </r>
    <r>
      <rPr>
        <sz val="12"/>
        <color rgb="FF383A37"/>
        <rFont val="Georgia"/>
        <family val="1"/>
      </rPr>
      <t>Seafood</t>
    </r>
  </si>
  <si>
    <r>
      <t>Dessert</t>
    </r>
    <r>
      <rPr>
        <sz val="12"/>
        <color rgb="FF383A37"/>
        <rFont val="Georgia"/>
        <family val="1"/>
      </rPr>
      <t>Key Lime Pie</t>
    </r>
  </si>
  <si>
    <r>
      <t>Hop Aroma/Flavor</t>
    </r>
    <r>
      <rPr>
        <sz val="12"/>
        <color rgb="FF383A37"/>
        <rFont val="Georgia"/>
        <family val="1"/>
      </rPr>
      <t>Hop flavor is not perceived to very low. Hop bitterness is very low</t>
    </r>
  </si>
  <si>
    <r>
      <t>Malt Aroma/Flavor</t>
    </r>
    <r>
      <rPr>
        <sz val="12"/>
        <color rgb="FF383A37"/>
        <rFont val="Georgia"/>
        <family val="1"/>
      </rPr>
      <t>Malt sweetness is very low to medium-low</t>
    </r>
  </si>
  <si>
    <r>
      <t>Phenols</t>
    </r>
    <r>
      <rPr>
        <sz val="12"/>
        <color rgb="FF383A37"/>
        <rFont val="Georgia"/>
        <family val="1"/>
      </rPr>
      <t>Clove</t>
    </r>
  </si>
  <si>
    <r>
      <t>Esters</t>
    </r>
    <r>
      <rPr>
        <sz val="12"/>
        <color rgb="FF383A37"/>
        <rFont val="Georgia"/>
        <family val="1"/>
      </rPr>
      <t>Banana</t>
    </r>
  </si>
  <si>
    <r>
      <t>OG</t>
    </r>
    <r>
      <rPr>
        <sz val="12"/>
        <color rgb="FF383A37"/>
        <rFont val="Georgia"/>
        <family val="1"/>
      </rPr>
      <t>1.090 - 1.120</t>
    </r>
  </si>
  <si>
    <r>
      <t>FG</t>
    </r>
    <r>
      <rPr>
        <sz val="12"/>
        <color rgb="FF383A37"/>
        <rFont val="Georgia"/>
        <family val="1"/>
      </rPr>
      <t>1.024 - 1.028</t>
    </r>
  </si>
  <si>
    <r>
      <t>IBU</t>
    </r>
    <r>
      <rPr>
        <sz val="12"/>
        <color rgb="FF383A37"/>
        <rFont val="Georgia"/>
        <family val="1"/>
      </rPr>
      <t>60 - 100</t>
    </r>
  </si>
  <si>
    <r>
      <t>BU:GU</t>
    </r>
    <r>
      <rPr>
        <sz val="12"/>
        <color rgb="FF383A37"/>
        <rFont val="Georgia"/>
        <family val="1"/>
      </rPr>
      <t>0.67 - 0.83</t>
    </r>
  </si>
  <si>
    <r>
      <t>Apparent Attenuation</t>
    </r>
    <r>
      <rPr>
        <sz val="12"/>
        <color rgb="FF383A37"/>
        <rFont val="Georgia"/>
        <family val="1"/>
      </rPr>
      <t>73 - 77</t>
    </r>
  </si>
  <si>
    <r>
      <t>Alcohol</t>
    </r>
    <r>
      <rPr>
        <sz val="12"/>
        <color rgb="FF383A37"/>
        <rFont val="Georgia"/>
        <family val="1"/>
      </rPr>
      <t>Noticeable to Hot</t>
    </r>
  </si>
  <si>
    <r>
      <t>Brewing/Conditioning Process</t>
    </r>
    <r>
      <rPr>
        <sz val="12"/>
        <color rgb="FF383A37"/>
        <rFont val="Georgia"/>
        <family val="1"/>
      </rPr>
      <t>Dry-hopping and aging are common</t>
    </r>
  </si>
  <si>
    <r>
      <t>Color</t>
    </r>
    <r>
      <rPr>
        <sz val="12"/>
        <color rgb="FF383A37"/>
        <rFont val="Georgia"/>
        <family val="1"/>
      </rPr>
      <t>Amber to Deep Red or Copper-Garnet</t>
    </r>
  </si>
  <si>
    <r>
      <t>Cheese</t>
    </r>
    <r>
      <rPr>
        <sz val="12"/>
        <color rgb="FF383A37"/>
        <rFont val="Georgia"/>
        <family val="1"/>
      </rPr>
      <t>Strong Blue Cheeses</t>
    </r>
  </si>
  <si>
    <r>
      <t>Entrée</t>
    </r>
    <r>
      <rPr>
        <sz val="12"/>
        <color rgb="FF383A37"/>
        <rFont val="Georgia"/>
        <family val="1"/>
      </rPr>
      <t>Beef Cheek</t>
    </r>
  </si>
  <si>
    <r>
      <t>Dessert</t>
    </r>
    <r>
      <rPr>
        <sz val="12"/>
        <color rgb="FF383A37"/>
        <rFont val="Georgia"/>
        <family val="1"/>
      </rPr>
      <t>Rich Desserts</t>
    </r>
  </si>
  <si>
    <r>
      <t>Hop Aroma/Flavor</t>
    </r>
    <r>
      <rPr>
        <sz val="12"/>
        <color rgb="FF383A37"/>
        <rFont val="Georgia"/>
        <family val="1"/>
      </rPr>
      <t>Hop aroma and flavor are medium to very high. Hop bitterness is high. American-type hops are often used, but not necessary for this style</t>
    </r>
  </si>
  <si>
    <r>
      <t>Common Hop Ingredients</t>
    </r>
    <r>
      <rPr>
        <sz val="12"/>
        <color rgb="FF383A37"/>
        <rFont val="Georgia"/>
        <family val="1"/>
      </rPr>
      <t>Magnum, Chinook, Centennial, Amarillo</t>
    </r>
  </si>
  <si>
    <r>
      <t>Malt Aroma/Flavor</t>
    </r>
    <r>
      <rPr>
        <sz val="12"/>
        <color rgb="FF383A37"/>
        <rFont val="Georgia"/>
        <family val="1"/>
      </rPr>
      <t>Caramel, Toffee, Bready, Sweet</t>
    </r>
  </si>
  <si>
    <r>
      <t>Common Malt Ingredients</t>
    </r>
    <r>
      <rPr>
        <sz val="12"/>
        <color rgb="FF383A37"/>
        <rFont val="Georgia"/>
        <family val="1"/>
      </rPr>
      <t>Pale, Crystal, Pale Chocolate, Special "B"</t>
    </r>
  </si>
  <si>
    <r>
      <t>Palate Body</t>
    </r>
    <r>
      <rPr>
        <sz val="12"/>
        <color rgb="FF383A37"/>
        <rFont val="Georgia"/>
        <family val="1"/>
      </rPr>
      <t>Mouth-Coating to Sticky</t>
    </r>
  </si>
  <si>
    <r>
      <t>Esters</t>
    </r>
    <r>
      <rPr>
        <sz val="12"/>
        <color rgb="FF383A37"/>
        <rFont val="Georgia"/>
        <family val="1"/>
      </rPr>
      <t>Fruity-ester flavors are often high</t>
    </r>
  </si>
  <si>
    <r>
      <t>OG</t>
    </r>
    <r>
      <rPr>
        <sz val="12"/>
        <color rgb="FF383A37"/>
        <rFont val="Georgia"/>
        <family val="1"/>
      </rPr>
      <t>1.080 - 1.100</t>
    </r>
  </si>
  <si>
    <r>
      <t>FG</t>
    </r>
    <r>
      <rPr>
        <sz val="12"/>
        <color rgb="FF383A37"/>
        <rFont val="Georgia"/>
        <family val="1"/>
      </rPr>
      <t>1.020 - 1.028</t>
    </r>
  </si>
  <si>
    <r>
      <t>ABV</t>
    </r>
    <r>
      <rPr>
        <sz val="12"/>
        <color rgb="FF383A37"/>
        <rFont val="Georgia"/>
        <family val="1"/>
      </rPr>
      <t>8%-10.6%</t>
    </r>
  </si>
  <si>
    <r>
      <t>IBU</t>
    </r>
    <r>
      <rPr>
        <sz val="12"/>
        <color rgb="FF383A37"/>
        <rFont val="Georgia"/>
        <family val="1"/>
      </rPr>
      <t>55 - 85</t>
    </r>
  </si>
  <si>
    <r>
      <t>BU:GU</t>
    </r>
    <r>
      <rPr>
        <sz val="12"/>
        <color rgb="FF383A37"/>
        <rFont val="Georgia"/>
        <family val="1"/>
      </rPr>
      <t>0.69 - 0.85</t>
    </r>
  </si>
  <si>
    <r>
      <t>SRM</t>
    </r>
    <r>
      <rPr>
        <sz val="12"/>
        <color rgb="FF383A37"/>
        <rFont val="Georgia"/>
        <family val="1"/>
      </rPr>
      <t>10 - 17</t>
    </r>
  </si>
  <si>
    <r>
      <t>Apparent Attenuation</t>
    </r>
    <r>
      <rPr>
        <sz val="12"/>
        <color rgb="FF383A37"/>
        <rFont val="Georgia"/>
        <family val="1"/>
      </rPr>
      <t>72 - 75</t>
    </r>
  </si>
  <si>
    <r>
      <t>Clarity</t>
    </r>
    <r>
      <rPr>
        <sz val="12"/>
        <color rgb="FF383A37"/>
        <rFont val="Georgia"/>
        <family val="1"/>
      </rPr>
      <t>Slight Haze to Clear. Unfiltered versions: Hazy to Very Cloudy</t>
    </r>
  </si>
  <si>
    <r>
      <t>Color</t>
    </r>
    <r>
      <rPr>
        <sz val="12"/>
        <color rgb="FF383A37"/>
        <rFont val="Georgia"/>
        <family val="1"/>
      </rPr>
      <t>Deep Amber to Dark Copper or Reddish Brown</t>
    </r>
  </si>
  <si>
    <r>
      <t>Cheese</t>
    </r>
    <r>
      <rPr>
        <sz val="12"/>
        <color rgb="FF383A37"/>
        <rFont val="Georgia"/>
        <family val="1"/>
      </rPr>
      <t>Mozzarella</t>
    </r>
  </si>
  <si>
    <r>
      <t>Entrée</t>
    </r>
    <r>
      <rPr>
        <sz val="12"/>
        <color rgb="FF383A37"/>
        <rFont val="Georgia"/>
        <family val="1"/>
      </rPr>
      <t>Corned Beef Hash</t>
    </r>
  </si>
  <si>
    <r>
      <t>Dessert</t>
    </r>
    <r>
      <rPr>
        <sz val="12"/>
        <color rgb="FF383A37"/>
        <rFont val="Georgia"/>
        <family val="1"/>
      </rPr>
      <t>Toffee Pudding</t>
    </r>
  </si>
  <si>
    <r>
      <t>Hop Aroma/Flavor</t>
    </r>
    <r>
      <rPr>
        <sz val="12"/>
        <color rgb="FF383A37"/>
        <rFont val="Georgia"/>
        <family val="1"/>
      </rPr>
      <t>Hop aroma, flavor and bitterness are high but balanced, arising from any variety of hops</t>
    </r>
  </si>
  <si>
    <r>
      <t>Malt Aroma/Flavor</t>
    </r>
    <r>
      <rPr>
        <sz val="12"/>
        <color rgb="FF383A37"/>
        <rFont val="Georgia"/>
        <family val="1"/>
      </rPr>
      <t>Medium to high caramel malt character is present</t>
    </r>
  </si>
  <si>
    <r>
      <t>Common Malt Ingredients</t>
    </r>
    <r>
      <rPr>
        <sz val="12"/>
        <color rgb="FF383A37"/>
        <rFont val="Georgia"/>
        <family val="1"/>
      </rPr>
      <t>Varies</t>
    </r>
  </si>
  <si>
    <r>
      <t>Other ingredients</t>
    </r>
    <r>
      <rPr>
        <sz val="12"/>
        <color rgb="FF383A37"/>
        <rFont val="Georgia"/>
        <family val="1"/>
      </rPr>
      <t>Varies</t>
    </r>
  </si>
  <si>
    <r>
      <t>Esters</t>
    </r>
    <r>
      <rPr>
        <sz val="12"/>
        <color rgb="FF383A37"/>
        <rFont val="Georgia"/>
        <family val="1"/>
      </rPr>
      <t>Medium.</t>
    </r>
  </si>
  <si>
    <r>
      <t>OG</t>
    </r>
    <r>
      <rPr>
        <sz val="12"/>
        <color rgb="FF383A37"/>
        <rFont val="Georgia"/>
        <family val="1"/>
      </rPr>
      <t>1.085 - 1.120</t>
    </r>
  </si>
  <si>
    <r>
      <t>ABV</t>
    </r>
    <r>
      <rPr>
        <sz val="12"/>
        <color rgb="FF383A37"/>
        <rFont val="Georgia"/>
        <family val="1"/>
      </rPr>
      <t>8.5% - 12.0%</t>
    </r>
  </si>
  <si>
    <r>
      <t>IBU</t>
    </r>
    <r>
      <rPr>
        <sz val="12"/>
        <color rgb="FF383A37"/>
        <rFont val="Georgia"/>
        <family val="1"/>
      </rPr>
      <t>40 - 60</t>
    </r>
  </si>
  <si>
    <r>
      <t>BU:GU</t>
    </r>
    <r>
      <rPr>
        <sz val="12"/>
        <color rgb="FF383A37"/>
        <rFont val="Georgia"/>
        <family val="1"/>
      </rPr>
      <t>0.47 - 0.50</t>
    </r>
  </si>
  <si>
    <r>
      <t>SRM</t>
    </r>
    <r>
      <rPr>
        <sz val="12"/>
        <color rgb="FF383A37"/>
        <rFont val="Georgia"/>
        <family val="1"/>
      </rPr>
      <t>14 - 22</t>
    </r>
  </si>
  <si>
    <r>
      <t>Apparent Attenuation</t>
    </r>
    <r>
      <rPr>
        <sz val="12"/>
        <color rgb="FF383A37"/>
        <rFont val="Georgia"/>
        <family val="1"/>
      </rPr>
      <t>72 - 77</t>
    </r>
  </si>
  <si>
    <r>
      <t>Brewing/Conditioning Process</t>
    </r>
    <r>
      <rPr>
        <sz val="12"/>
        <color rgb="FF383A37"/>
        <rFont val="Georgia"/>
        <family val="1"/>
      </rPr>
      <t>Aging is common</t>
    </r>
  </si>
  <si>
    <r>
      <t>Color</t>
    </r>
    <r>
      <rPr>
        <sz val="12"/>
        <color rgb="FF383A37"/>
        <rFont val="Georgia"/>
        <family val="1"/>
      </rPr>
      <t>Tawny Copper to Deep Red or Copper-Garnet</t>
    </r>
  </si>
  <si>
    <r>
      <t>Cheese</t>
    </r>
    <r>
      <rPr>
        <sz val="12"/>
        <color rgb="FF383A37"/>
        <rFont val="Georgia"/>
        <family val="1"/>
      </rPr>
      <t>English Stilton</t>
    </r>
  </si>
  <si>
    <r>
      <t>Entrée</t>
    </r>
    <r>
      <rPr>
        <sz val="12"/>
        <color rgb="FF383A37"/>
        <rFont val="Georgia"/>
        <family val="1"/>
      </rPr>
      <t>Moroccan Duck</t>
    </r>
  </si>
  <si>
    <r>
      <t>Dessert</t>
    </r>
    <r>
      <rPr>
        <sz val="12"/>
        <color rgb="FF383A37"/>
        <rFont val="Georgia"/>
        <family val="1"/>
      </rPr>
      <t>Dark Chocolate</t>
    </r>
  </si>
  <si>
    <r>
      <t>Hop Aroma/Flavor</t>
    </r>
    <r>
      <rPr>
        <sz val="12"/>
        <color rgb="FF383A37"/>
        <rFont val="Georgia"/>
        <family val="1"/>
      </rPr>
      <t>Hop flavor and aroma are very low to medium. Hop bitterness is low to medium. English-type hops are often used, but not necessary for this style</t>
    </r>
  </si>
  <si>
    <r>
      <t>Common Hop Ingredients</t>
    </r>
    <r>
      <rPr>
        <sz val="12"/>
        <color rgb="FF383A37"/>
        <rFont val="Georgia"/>
        <family val="1"/>
      </rPr>
      <t>Kent Goldings, Horizon</t>
    </r>
  </si>
  <si>
    <r>
      <t>Malt Aroma/Flavor</t>
    </r>
    <r>
      <rPr>
        <sz val="12"/>
        <color rgb="FF383A37"/>
        <rFont val="Georgia"/>
        <family val="1"/>
      </rPr>
      <t>Nutty, Caramel, Biscuit</t>
    </r>
  </si>
  <si>
    <r>
      <t>Common Malt Ingredients</t>
    </r>
    <r>
      <rPr>
        <sz val="12"/>
        <color rgb="FF383A37"/>
        <rFont val="Georgia"/>
        <family val="1"/>
      </rPr>
      <t>English Pale, CaraMunich, Crystal</t>
    </r>
  </si>
  <si>
    <r>
      <t>Esters</t>
    </r>
    <r>
      <rPr>
        <sz val="12"/>
        <color rgb="FF383A37"/>
        <rFont val="Georgia"/>
        <family val="1"/>
      </rPr>
      <t>Fruity-ester characters are often high and balanced with the high alcohol content</t>
    </r>
  </si>
  <si>
    <r>
      <t>Fermentation Byproducts</t>
    </r>
    <r>
      <rPr>
        <sz val="12"/>
        <color rgb="FF383A37"/>
        <rFont val="Georgia"/>
        <family val="1"/>
      </rPr>
      <t>Low levels of diacetyl may be acceptable</t>
    </r>
  </si>
  <si>
    <r>
      <t>OG</t>
    </r>
    <r>
      <rPr>
        <sz val="12"/>
        <color rgb="FF383A37"/>
        <rFont val="Georgia"/>
        <family val="1"/>
      </rPr>
      <t>1.058 - 1.088</t>
    </r>
  </si>
  <si>
    <r>
      <t>FG</t>
    </r>
    <r>
      <rPr>
        <sz val="12"/>
        <color rgb="FF383A37"/>
        <rFont val="Georgia"/>
        <family val="1"/>
      </rPr>
      <t>1.014 - 1.030</t>
    </r>
  </si>
  <si>
    <r>
      <t>ABV</t>
    </r>
    <r>
      <rPr>
        <sz val="12"/>
        <color rgb="FF383A37"/>
        <rFont val="Georgia"/>
        <family val="1"/>
      </rPr>
      <t>6.3% - 9.1%</t>
    </r>
  </si>
  <si>
    <r>
      <t>IBU</t>
    </r>
    <r>
      <rPr>
        <sz val="12"/>
        <color rgb="FF383A37"/>
        <rFont val="Georgia"/>
        <family val="1"/>
      </rPr>
      <t>30 - 65</t>
    </r>
  </si>
  <si>
    <r>
      <t>BU:GU</t>
    </r>
    <r>
      <rPr>
        <sz val="12"/>
        <color rgb="FF383A37"/>
        <rFont val="Georgia"/>
        <family val="1"/>
      </rPr>
      <t>0.52 - 0.74</t>
    </r>
  </si>
  <si>
    <r>
      <t>SRM</t>
    </r>
    <r>
      <rPr>
        <sz val="12"/>
        <color rgb="FF383A37"/>
        <rFont val="Georgia"/>
        <family val="1"/>
      </rPr>
      <t>12 - 30</t>
    </r>
  </si>
  <si>
    <r>
      <t>CO2 Volumes</t>
    </r>
    <r>
      <rPr>
        <sz val="12"/>
        <color rgb="FF383A37"/>
        <rFont val="Georgia"/>
        <family val="1"/>
      </rPr>
      <t>2 approximately</t>
    </r>
  </si>
  <si>
    <r>
      <t>Apparent Attenuation</t>
    </r>
    <r>
      <rPr>
        <sz val="12"/>
        <color rgb="FF383A37"/>
        <rFont val="Georgia"/>
        <family val="1"/>
      </rPr>
      <t>66 - 76</t>
    </r>
  </si>
  <si>
    <r>
      <t>Clarity</t>
    </r>
    <r>
      <rPr>
        <sz val="12"/>
        <color rgb="FF383A37"/>
        <rFont val="Georgia"/>
        <family val="1"/>
      </rPr>
      <t>Opaque</t>
    </r>
  </si>
  <si>
    <r>
      <t>Brewing/Conditioning Process</t>
    </r>
    <r>
      <rPr>
        <sz val="12"/>
        <color rgb="FF383A37"/>
        <rFont val="Georgia"/>
        <family val="1"/>
      </rPr>
      <t>Typically mashed at higher temperatures to reduce attenuation. Wood-aged notes such as vanillin are acceptable.</t>
    </r>
  </si>
  <si>
    <r>
      <t>Color</t>
    </r>
    <r>
      <rPr>
        <sz val="12"/>
        <color rgb="FF383A37"/>
        <rFont val="Georgia"/>
        <family val="1"/>
      </rPr>
      <t>Copper-Red to Very Dark</t>
    </r>
  </si>
  <si>
    <r>
      <t>Cheese</t>
    </r>
    <r>
      <rPr>
        <sz val="12"/>
        <color rgb="FF383A37"/>
        <rFont val="Georgia"/>
        <family val="1"/>
      </rPr>
      <t>Double Gloucester</t>
    </r>
  </si>
  <si>
    <r>
      <t>Entrée</t>
    </r>
    <r>
      <rPr>
        <sz val="12"/>
        <color rgb="FF383A37"/>
        <rFont val="Georgia"/>
        <family val="1"/>
      </rPr>
      <t>Roast Beef and Lamb</t>
    </r>
  </si>
  <si>
    <r>
      <t>Dessert</t>
    </r>
    <r>
      <rPr>
        <sz val="12"/>
        <color rgb="FF383A37"/>
        <rFont val="Georgia"/>
        <family val="1"/>
      </rPr>
      <t>Spiced Plum Walnut Tart</t>
    </r>
  </si>
  <si>
    <r>
      <t>Hop Aroma/Flavor</t>
    </r>
    <r>
      <rPr>
        <sz val="12"/>
        <color rgb="FF383A37"/>
        <rFont val="Georgia"/>
        <family val="1"/>
      </rPr>
      <t>Hop aroma and flavor are not perceived to medium. Hop bitterness is minimal but evident.</t>
    </r>
  </si>
  <si>
    <r>
      <t>Malt Aroma/Flavor</t>
    </r>
    <r>
      <rPr>
        <sz val="12"/>
        <color rgb="FF383A37"/>
        <rFont val="Georgia"/>
        <family val="1"/>
      </rPr>
      <t>A malty and sometimes caramel-like sweetness may be evident.</t>
    </r>
  </si>
  <si>
    <r>
      <t>Common Malt Ingredients</t>
    </r>
    <r>
      <rPr>
        <sz val="12"/>
        <color rgb="FF383A37"/>
        <rFont val="Georgia"/>
        <family val="1"/>
      </rPr>
      <t>Pale, Chocolate, Black Patent</t>
    </r>
  </si>
  <si>
    <r>
      <t>Other ingredients</t>
    </r>
    <r>
      <rPr>
        <sz val="12"/>
        <color rgb="FF383A37"/>
        <rFont val="Georgia"/>
        <family val="1"/>
      </rPr>
      <t>Molasses, Treacle, Invert Sugar, Dark Sugar</t>
    </r>
  </si>
  <si>
    <r>
      <t>Type</t>
    </r>
    <r>
      <rPr>
        <sz val="12"/>
        <color rgb="FF383A37"/>
        <rFont val="Georgia"/>
        <family val="1"/>
      </rPr>
      <t>Ale, Brettanomyces possible</t>
    </r>
  </si>
  <si>
    <r>
      <t>Esters</t>
    </r>
    <r>
      <rPr>
        <sz val="12"/>
        <color rgb="FF383A37"/>
        <rFont val="Georgia"/>
        <family val="1"/>
      </rPr>
      <t>Fruit (Varies)</t>
    </r>
  </si>
  <si>
    <r>
      <t>Microorganisms</t>
    </r>
    <r>
      <rPr>
        <sz val="12"/>
        <color rgb="FF383A37"/>
        <rFont val="Georgia"/>
        <family val="1"/>
      </rPr>
      <t>Lactobacillus possible. Horsey, goaty, leathery and phenolic character evolved from Brettanomyces organisms and acidity may be present but should be at low levels and balanced with other flavors.</t>
    </r>
  </si>
  <si>
    <r>
      <t>Fermentation Byproducts</t>
    </r>
    <r>
      <rPr>
        <sz val="12"/>
        <color rgb="FF383A37"/>
        <rFont val="Georgia"/>
        <family val="1"/>
      </rPr>
      <t>Diacetyl is acceptable at very low levels.</t>
    </r>
  </si>
  <si>
    <r>
      <t>OG</t>
    </r>
    <r>
      <rPr>
        <sz val="12"/>
        <color rgb="FF383A37"/>
        <rFont val="Georgia"/>
        <family val="1"/>
      </rPr>
      <t>1.054 - 1.068</t>
    </r>
  </si>
  <si>
    <r>
      <t>FG</t>
    </r>
    <r>
      <rPr>
        <sz val="12"/>
        <color rgb="FF383A37"/>
        <rFont val="Georgia"/>
        <family val="1"/>
      </rPr>
      <t>1.008 - 1.015</t>
    </r>
  </si>
  <si>
    <r>
      <t>ABV</t>
    </r>
    <r>
      <rPr>
        <sz val="12"/>
        <color rgb="FF383A37"/>
        <rFont val="Georgia"/>
        <family val="1"/>
      </rPr>
      <t>6.3% - 7.9%</t>
    </r>
  </si>
  <si>
    <r>
      <t>IBU</t>
    </r>
    <r>
      <rPr>
        <sz val="12"/>
        <color rgb="FF383A37"/>
        <rFont val="Georgia"/>
        <family val="1"/>
      </rPr>
      <t>15 - 30</t>
    </r>
  </si>
  <si>
    <r>
      <t>BU:GU</t>
    </r>
    <r>
      <rPr>
        <sz val="12"/>
        <color rgb="FF383A37"/>
        <rFont val="Georgia"/>
        <family val="1"/>
      </rPr>
      <t>0.28 - 0.44</t>
    </r>
  </si>
  <si>
    <r>
      <t>SRM</t>
    </r>
    <r>
      <rPr>
        <sz val="12"/>
        <color rgb="FF383A37"/>
        <rFont val="Georgia"/>
        <family val="1"/>
      </rPr>
      <t>4 - 7</t>
    </r>
  </si>
  <si>
    <r>
      <t>CO2 Volumes</t>
    </r>
    <r>
      <rPr>
        <sz val="12"/>
        <color rgb="FF383A37"/>
        <rFont val="Georgia"/>
        <family val="1"/>
      </rPr>
      <t>3 - 4</t>
    </r>
  </si>
  <si>
    <r>
      <t>Apparent Attenuation</t>
    </r>
    <r>
      <rPr>
        <sz val="12"/>
        <color rgb="FF383A37"/>
        <rFont val="Georgia"/>
        <family val="1"/>
      </rPr>
      <t>78 - 85</t>
    </r>
  </si>
  <si>
    <r>
      <t>Color</t>
    </r>
    <r>
      <rPr>
        <sz val="12"/>
        <color rgb="FF383A37"/>
        <rFont val="Georgia"/>
        <family val="1"/>
      </rPr>
      <t>Pale to Light Amber</t>
    </r>
  </si>
  <si>
    <r>
      <t>Cheese</t>
    </r>
    <r>
      <rPr>
        <sz val="12"/>
        <color rgb="FF383A37"/>
        <rFont val="Georgia"/>
        <family val="1"/>
      </rPr>
      <t>Brie</t>
    </r>
  </si>
  <si>
    <r>
      <t>Entrée</t>
    </r>
    <r>
      <rPr>
        <sz val="12"/>
        <color rgb="FF383A37"/>
        <rFont val="Georgia"/>
        <family val="1"/>
      </rPr>
      <t>Sweet and Sour Chicken</t>
    </r>
  </si>
  <si>
    <r>
      <t>Dessert</t>
    </r>
    <r>
      <rPr>
        <sz val="12"/>
        <color rgb="FF383A37"/>
        <rFont val="Georgia"/>
        <family val="1"/>
      </rPr>
      <t>Angel Food Cake</t>
    </r>
  </si>
  <si>
    <r>
      <t>Hop Aroma/Flavor</t>
    </r>
    <r>
      <rPr>
        <sz val="12"/>
        <color rgb="FF383A37"/>
        <rFont val="Georgia"/>
        <family val="1"/>
      </rPr>
      <t>Hop flavor and aroma are not perceived to low. Hop bitterness is very low to low</t>
    </r>
  </si>
  <si>
    <r>
      <t>Common Hop Ingredients</t>
    </r>
    <r>
      <rPr>
        <sz val="12"/>
        <color rgb="FF383A37"/>
        <rFont val="Georgia"/>
        <family val="1"/>
      </rPr>
      <t>Hallertau</t>
    </r>
  </si>
  <si>
    <r>
      <t>Malt Aroma/Flavor</t>
    </r>
    <r>
      <rPr>
        <sz val="12"/>
        <color rgb="FF383A37"/>
        <rFont val="Georgia"/>
        <family val="1"/>
      </rPr>
      <t>Malt aroma and flavor are low</t>
    </r>
  </si>
  <si>
    <r>
      <t>Common Malt Ingredients</t>
    </r>
    <r>
      <rPr>
        <sz val="12"/>
        <color rgb="FF383A37"/>
        <rFont val="Georgia"/>
        <family val="1"/>
      </rPr>
      <t>Pilsner, Malted Wheat, Aromatic</t>
    </r>
  </si>
  <si>
    <r>
      <t>Other ingredients</t>
    </r>
    <r>
      <rPr>
        <sz val="12"/>
        <color rgb="FF383A37"/>
        <rFont val="Georgia"/>
        <family val="1"/>
      </rPr>
      <t>Belgian Candi Sugar (occasionally)</t>
    </r>
  </si>
  <si>
    <r>
      <t>Palate Body</t>
    </r>
    <r>
      <rPr>
        <sz val="12"/>
        <color rgb="FF383A37"/>
        <rFont val="Georgia"/>
        <family val="1"/>
      </rPr>
      <t>Soft to Moderate</t>
    </r>
  </si>
  <si>
    <r>
      <t>Phenols</t>
    </r>
    <r>
      <rPr>
        <sz val="12"/>
        <color rgb="FF383A37"/>
        <rFont val="Georgia"/>
        <family val="1"/>
      </rPr>
      <t>Spicy</t>
    </r>
  </si>
  <si>
    <r>
      <t>Esters</t>
    </r>
    <r>
      <rPr>
        <sz val="12"/>
        <color rgb="FF383A37"/>
        <rFont val="Georgia"/>
        <family val="1"/>
      </rPr>
      <t>Low to medium fruity-ester aromas may be present and balanced with light malt and spice aromas</t>
    </r>
  </si>
  <si>
    <r>
      <t>FG</t>
    </r>
    <r>
      <rPr>
        <sz val="12"/>
        <color rgb="FF383A37"/>
        <rFont val="Georgia"/>
        <family val="1"/>
      </rPr>
      <t>1.012 - 1.016</t>
    </r>
  </si>
  <si>
    <r>
      <t>BU:GU</t>
    </r>
    <r>
      <rPr>
        <sz val="12"/>
        <color rgb="FF383A37"/>
        <rFont val="Georgia"/>
        <family val="1"/>
      </rPr>
      <t>0.33 - 0.40</t>
    </r>
  </si>
  <si>
    <r>
      <t>SRM</t>
    </r>
    <r>
      <rPr>
        <sz val="12"/>
        <color rgb="FF383A37"/>
        <rFont val="Georgia"/>
        <family val="1"/>
      </rPr>
      <t>16 - 36</t>
    </r>
  </si>
  <si>
    <r>
      <t>Apparent Attenuation</t>
    </r>
    <r>
      <rPr>
        <sz val="12"/>
        <color rgb="FF383A37"/>
        <rFont val="Georgia"/>
        <family val="1"/>
      </rPr>
      <t>79 - 80</t>
    </r>
  </si>
  <si>
    <r>
      <t>Brewing/Conditioning Process</t>
    </r>
    <r>
      <rPr>
        <sz val="12"/>
        <color rgb="FF383A37"/>
        <rFont val="Georgia"/>
        <family val="1"/>
      </rPr>
      <t>Sometimes extended boiling time results in kettle caramelization. Usually bottle conditioned</t>
    </r>
  </si>
  <si>
    <r>
      <t>Color</t>
    </r>
    <r>
      <rPr>
        <sz val="12"/>
        <color rgb="FF383A37"/>
        <rFont val="Georgia"/>
        <family val="1"/>
      </rPr>
      <t>Brown to Very Dark</t>
    </r>
  </si>
  <si>
    <r>
      <t>Cheese</t>
    </r>
    <r>
      <rPr>
        <sz val="12"/>
        <color rgb="FF383A37"/>
        <rFont val="Georgia"/>
        <family val="1"/>
      </rPr>
      <t>Washed-Rind Cheeses</t>
    </r>
  </si>
  <si>
    <r>
      <t>Entrée</t>
    </r>
    <r>
      <rPr>
        <sz val="12"/>
        <color rgb="FF383A37"/>
        <rFont val="Georgia"/>
        <family val="1"/>
      </rPr>
      <t>Apple-Smoked Sausage</t>
    </r>
  </si>
  <si>
    <r>
      <t>Dessert</t>
    </r>
    <r>
      <rPr>
        <sz val="12"/>
        <color rgb="FF383A37"/>
        <rFont val="Georgia"/>
        <family val="1"/>
      </rPr>
      <t>Milk Chocolate</t>
    </r>
  </si>
  <si>
    <r>
      <t>Hop Aroma/Flavor</t>
    </r>
    <r>
      <rPr>
        <sz val="12"/>
        <color rgb="FF383A37"/>
        <rFont val="Georgia"/>
        <family val="1"/>
      </rPr>
      <t>Hop aroma and flavor are not perceived to low. Hop bitterness is medium-low to medium</t>
    </r>
  </si>
  <si>
    <r>
      <t>Common Hop Ingredients</t>
    </r>
    <r>
      <rPr>
        <sz val="12"/>
        <color rgb="FF383A37"/>
        <rFont val="Georgia"/>
        <family val="1"/>
      </rPr>
      <t>Tettnang</t>
    </r>
  </si>
  <si>
    <r>
      <t>Malt Aroma/Flavor</t>
    </r>
    <r>
      <rPr>
        <sz val="12"/>
        <color rgb="FF383A37"/>
        <rFont val="Georgia"/>
        <family val="1"/>
      </rPr>
      <t>Chocolate, Caramel, Toast</t>
    </r>
  </si>
  <si>
    <r>
      <t>Common Malt Ingredients</t>
    </r>
    <r>
      <rPr>
        <sz val="12"/>
        <color rgb="FF383A37"/>
        <rFont val="Georgia"/>
        <family val="1"/>
      </rPr>
      <t>Pilsner, CaraMunich, Special "B"</t>
    </r>
  </si>
  <si>
    <r>
      <t>Other ingredients</t>
    </r>
    <r>
      <rPr>
        <sz val="12"/>
        <color rgb="FF383A37"/>
        <rFont val="Georgia"/>
        <family val="1"/>
      </rPr>
      <t>Belgian Candi Sugar, Other Sugars</t>
    </r>
  </si>
  <si>
    <r>
      <t>Phenols</t>
    </r>
    <r>
      <rPr>
        <sz val="12"/>
        <color rgb="FF383A37"/>
        <rFont val="Georgia"/>
        <family val="1"/>
      </rPr>
      <t>Spicy, Pepper, Rose-like, Perfumy</t>
    </r>
  </si>
  <si>
    <r>
      <t>Esters</t>
    </r>
    <r>
      <rPr>
        <sz val="12"/>
        <color rgb="FF383A37"/>
        <rFont val="Georgia"/>
        <family val="1"/>
      </rPr>
      <t>Fruit (Banana)</t>
    </r>
  </si>
  <si>
    <r>
      <t>Fermentation Byproducts</t>
    </r>
    <r>
      <rPr>
        <sz val="12"/>
        <color rgb="FF383A37"/>
        <rFont val="Georgia"/>
        <family val="1"/>
      </rPr>
      <t>Slight yeast haze is often evident when bottle-conditioned</t>
    </r>
  </si>
  <si>
    <r>
      <t>OG</t>
    </r>
    <r>
      <rPr>
        <sz val="12"/>
        <color rgb="FF383A37"/>
        <rFont val="Georgia"/>
        <family val="1"/>
      </rPr>
      <t>1.064 - 1.096</t>
    </r>
  </si>
  <si>
    <r>
      <t>FG</t>
    </r>
    <r>
      <rPr>
        <sz val="12"/>
        <color rgb="FF383A37"/>
        <rFont val="Georgia"/>
        <family val="1"/>
      </rPr>
      <t>1.008 - 1.024</t>
    </r>
  </si>
  <si>
    <r>
      <t>ABV</t>
    </r>
    <r>
      <rPr>
        <sz val="12"/>
        <color rgb="FF383A37"/>
        <rFont val="Georgia"/>
        <family val="1"/>
      </rPr>
      <t>7.1% - 11.2%</t>
    </r>
  </si>
  <si>
    <r>
      <t>IBU</t>
    </r>
    <r>
      <rPr>
        <sz val="12"/>
        <color rgb="FF383A37"/>
        <rFont val="Georgia"/>
        <family val="1"/>
      </rPr>
      <t>20 - 50</t>
    </r>
  </si>
  <si>
    <r>
      <t>BU:GU</t>
    </r>
    <r>
      <rPr>
        <sz val="12"/>
        <color rgb="FF383A37"/>
        <rFont val="Georgia"/>
        <family val="1"/>
      </rPr>
      <t>0.31 - 0.52</t>
    </r>
  </si>
  <si>
    <r>
      <t>SRM</t>
    </r>
    <r>
      <rPr>
        <sz val="12"/>
        <color rgb="FF383A37"/>
        <rFont val="Georgia"/>
        <family val="1"/>
      </rPr>
      <t>3.5 - 10</t>
    </r>
  </si>
  <si>
    <r>
      <t>CO2 Volumes</t>
    </r>
    <r>
      <rPr>
        <sz val="12"/>
        <color rgb="FF383A37"/>
        <rFont val="Georgia"/>
        <family val="1"/>
      </rPr>
      <t>4 approximately</t>
    </r>
  </si>
  <si>
    <r>
      <t>Apparent Attenuation</t>
    </r>
    <r>
      <rPr>
        <sz val="12"/>
        <color rgb="FF383A37"/>
        <rFont val="Georgia"/>
        <family val="1"/>
      </rPr>
      <t>75 - 88</t>
    </r>
  </si>
  <si>
    <r>
      <t>Brewing/Conditioning Process</t>
    </r>
    <r>
      <rPr>
        <sz val="12"/>
        <color rgb="FF383A37"/>
        <rFont val="Georgia"/>
        <family val="1"/>
      </rPr>
      <t>Bottle-conditioned</t>
    </r>
  </si>
  <si>
    <r>
      <t>Color</t>
    </r>
    <r>
      <rPr>
        <sz val="12"/>
        <color rgb="FF383A37"/>
        <rFont val="Georgia"/>
        <family val="1"/>
      </rPr>
      <t>Pale to Copper</t>
    </r>
  </si>
  <si>
    <r>
      <t>Cheese</t>
    </r>
    <r>
      <rPr>
        <sz val="12"/>
        <color rgb="FF383A37"/>
        <rFont val="Georgia"/>
        <family val="1"/>
      </rPr>
      <t>Triple Creme</t>
    </r>
  </si>
  <si>
    <r>
      <t>Entrée</t>
    </r>
    <r>
      <rPr>
        <sz val="12"/>
        <color rgb="FF383A37"/>
        <rFont val="Georgia"/>
        <family val="1"/>
      </rPr>
      <t>Beer Battered Fried Shrimp</t>
    </r>
  </si>
  <si>
    <r>
      <t>Dessert</t>
    </r>
    <r>
      <rPr>
        <sz val="12"/>
        <color rgb="FF383A37"/>
        <rFont val="Georgia"/>
        <family val="1"/>
      </rPr>
      <t>Baklava</t>
    </r>
  </si>
  <si>
    <r>
      <t>Hop Aroma/Flavor</t>
    </r>
    <r>
      <rPr>
        <sz val="12"/>
        <color rgb="FF383A37"/>
        <rFont val="Georgia"/>
        <family val="1"/>
      </rPr>
      <t>Hop aroma and flavor are medium-low to medium-high. Hop bitterness is medium-low to medium-high</t>
    </r>
  </si>
  <si>
    <r>
      <t>Common Hop Ingredients</t>
    </r>
    <r>
      <rPr>
        <sz val="12"/>
        <color rgb="FF383A37"/>
        <rFont val="Georgia"/>
        <family val="1"/>
      </rPr>
      <t>Czech Saaz</t>
    </r>
  </si>
  <si>
    <r>
      <t>Malt Aroma/Flavor</t>
    </r>
    <r>
      <rPr>
        <sz val="12"/>
        <color rgb="FF383A37"/>
        <rFont val="Georgia"/>
        <family val="1"/>
      </rPr>
      <t>These beers can be malty in overall impression, or dry and highly attenuated</t>
    </r>
  </si>
  <si>
    <r>
      <t>Common Malt Ingredients</t>
    </r>
    <r>
      <rPr>
        <sz val="12"/>
        <color rgb="FF383A37"/>
        <rFont val="Georgia"/>
        <family val="1"/>
      </rPr>
      <t>Pilsner</t>
    </r>
  </si>
  <si>
    <r>
      <t>Other ingredients</t>
    </r>
    <r>
      <rPr>
        <sz val="12"/>
        <color rgb="FF383A37"/>
        <rFont val="Georgia"/>
        <family val="1"/>
      </rPr>
      <t>Cane Sugar. Herbs and spices are sometimes used to delicately flavor these strong ales</t>
    </r>
  </si>
  <si>
    <r>
      <t>Esters</t>
    </r>
    <r>
      <rPr>
        <sz val="12"/>
        <color rgb="FF383A37"/>
        <rFont val="Georgia"/>
        <family val="1"/>
      </rPr>
      <t>Fruit (Pear, Orange, Apple)</t>
    </r>
  </si>
  <si>
    <r>
      <t>OG</t>
    </r>
    <r>
      <rPr>
        <sz val="12"/>
        <color rgb="FF383A37"/>
        <rFont val="Georgia"/>
        <family val="1"/>
      </rPr>
      <t>1.044 - 1.054</t>
    </r>
  </si>
  <si>
    <r>
      <t>ABV</t>
    </r>
    <r>
      <rPr>
        <sz val="12"/>
        <color rgb="FF383A37"/>
        <rFont val="Georgia"/>
        <family val="1"/>
      </rPr>
      <t>4.1% - 6.3%</t>
    </r>
  </si>
  <si>
    <r>
      <t>IBU</t>
    </r>
    <r>
      <rPr>
        <sz val="12"/>
        <color rgb="FF383A37"/>
        <rFont val="Georgia"/>
        <family val="1"/>
      </rPr>
      <t>20 - 30</t>
    </r>
  </si>
  <si>
    <r>
      <t>BU:GU</t>
    </r>
    <r>
      <rPr>
        <sz val="12"/>
        <color rgb="FF383A37"/>
        <rFont val="Georgia"/>
        <family val="1"/>
      </rPr>
      <t>0.45 - 0.56</t>
    </r>
  </si>
  <si>
    <r>
      <t>SRM</t>
    </r>
    <r>
      <rPr>
        <sz val="12"/>
        <color rgb="FF383A37"/>
        <rFont val="Georgia"/>
        <family val="1"/>
      </rPr>
      <t>6 - 12</t>
    </r>
  </si>
  <si>
    <r>
      <t>Apparent Attenuation</t>
    </r>
    <r>
      <rPr>
        <sz val="12"/>
        <color rgb="FF383A37"/>
        <rFont val="Georgia"/>
        <family val="1"/>
      </rPr>
      <t>74 - 82</t>
    </r>
  </si>
  <si>
    <r>
      <t>Cheese</t>
    </r>
    <r>
      <rPr>
        <sz val="12"/>
        <color rgb="FF383A37"/>
        <rFont val="Georgia"/>
        <family val="1"/>
      </rPr>
      <t>Taleggio</t>
    </r>
  </si>
  <si>
    <r>
      <t>Entrée</t>
    </r>
    <r>
      <rPr>
        <sz val="12"/>
        <color rgb="FF383A37"/>
        <rFont val="Georgia"/>
        <family val="1"/>
      </rPr>
      <t>Tempura Fried Fish and Chips</t>
    </r>
  </si>
  <si>
    <r>
      <t>Dessert</t>
    </r>
    <r>
      <rPr>
        <sz val="12"/>
        <color rgb="FF383A37"/>
        <rFont val="Georgia"/>
        <family val="1"/>
      </rPr>
      <t>Savory Bread Pudding</t>
    </r>
  </si>
  <si>
    <r>
      <t>Hop Aroma/Flavor</t>
    </r>
    <r>
      <rPr>
        <sz val="12"/>
        <color rgb="FF383A37"/>
        <rFont val="Georgia"/>
        <family val="1"/>
      </rPr>
      <t>Hop aroma and flavor are low but noticeable; noble-type hops are commonly used. Hop bitterness is low but noticeable</t>
    </r>
  </si>
  <si>
    <r>
      <t>Malt Aroma/Flavor</t>
    </r>
    <r>
      <rPr>
        <sz val="12"/>
        <color rgb="FF383A37"/>
        <rFont val="Georgia"/>
        <family val="1"/>
      </rPr>
      <t>Caramel, Toast</t>
    </r>
  </si>
  <si>
    <r>
      <t>Common Malt Ingredients</t>
    </r>
    <r>
      <rPr>
        <sz val="12"/>
        <color rgb="FF383A37"/>
        <rFont val="Georgia"/>
        <family val="1"/>
      </rPr>
      <t>Pilsner, CaraMunich, Biscuit</t>
    </r>
  </si>
  <si>
    <r>
      <t>Serving Temperature</t>
    </r>
    <r>
      <rPr>
        <sz val="12"/>
        <color rgb="FF383A37"/>
        <rFont val="Georgia"/>
        <family val="1"/>
      </rPr>
      <t>40-50°F</t>
    </r>
  </si>
  <si>
    <r>
      <t>Esters</t>
    </r>
    <r>
      <rPr>
        <sz val="12"/>
        <color rgb="FF383A37"/>
        <rFont val="Georgia"/>
        <family val="1"/>
      </rPr>
      <t>Fruit (Pear, Orange)</t>
    </r>
  </si>
  <si>
    <r>
      <t>OG</t>
    </r>
    <r>
      <rPr>
        <sz val="12"/>
        <color rgb="FF383A37"/>
        <rFont val="Georgia"/>
        <family val="1"/>
      </rPr>
      <t>1.084 - 1.120</t>
    </r>
  </si>
  <si>
    <r>
      <t>FG</t>
    </r>
    <r>
      <rPr>
        <sz val="12"/>
        <color rgb="FF383A37"/>
        <rFont val="Georgia"/>
        <family val="1"/>
      </rPr>
      <t>1.014 - 1.020</t>
    </r>
  </si>
  <si>
    <r>
      <t>ABV</t>
    </r>
    <r>
      <rPr>
        <sz val="12"/>
        <color rgb="FF383A37"/>
        <rFont val="Georgia"/>
        <family val="1"/>
      </rPr>
      <t>9.1% - 14.2%</t>
    </r>
  </si>
  <si>
    <r>
      <t>IBU</t>
    </r>
    <r>
      <rPr>
        <sz val="12"/>
        <color rgb="FF383A37"/>
        <rFont val="Georgia"/>
        <family val="1"/>
      </rPr>
      <t>25 - 50</t>
    </r>
  </si>
  <si>
    <r>
      <t>BU:GU</t>
    </r>
    <r>
      <rPr>
        <sz val="12"/>
        <color rgb="FF383A37"/>
        <rFont val="Georgia"/>
        <family val="1"/>
      </rPr>
      <t>0.30 - 0.42</t>
    </r>
  </si>
  <si>
    <r>
      <t>SRM</t>
    </r>
    <r>
      <rPr>
        <sz val="12"/>
        <color rgb="FF383A37"/>
        <rFont val="Georgia"/>
        <family val="1"/>
      </rPr>
      <t>8 - 20</t>
    </r>
  </si>
  <si>
    <r>
      <t>Apparent Attenuation</t>
    </r>
    <r>
      <rPr>
        <sz val="12"/>
        <color rgb="FF383A37"/>
        <rFont val="Georgia"/>
        <family val="1"/>
      </rPr>
      <t>83 - 83</t>
    </r>
  </si>
  <si>
    <r>
      <t>Color</t>
    </r>
    <r>
      <rPr>
        <sz val="12"/>
        <color rgb="FF383A37"/>
        <rFont val="Georgia"/>
        <family val="1"/>
      </rPr>
      <t>Amber to Dark Brown</t>
    </r>
  </si>
  <si>
    <r>
      <t>Entrée</t>
    </r>
    <r>
      <rPr>
        <sz val="12"/>
        <color rgb="FF383A37"/>
        <rFont val="Georgia"/>
        <family val="1"/>
      </rPr>
      <t>Roasted Duck</t>
    </r>
  </si>
  <si>
    <r>
      <t>Dessert</t>
    </r>
    <r>
      <rPr>
        <sz val="12"/>
        <color rgb="FF383A37"/>
        <rFont val="Georgia"/>
        <family val="1"/>
      </rPr>
      <t>Bread Pudding</t>
    </r>
  </si>
  <si>
    <r>
      <t>Hop Aroma/Flavor</t>
    </r>
    <r>
      <rPr>
        <sz val="12"/>
        <color rgb="FF383A37"/>
        <rFont val="Georgia"/>
        <family val="1"/>
      </rPr>
      <t>Hop aroma and flavor are not perceived to very low. Hop bitterness is low to medium-low</t>
    </r>
  </si>
  <si>
    <r>
      <t>Malt Aroma/Flavor</t>
    </r>
    <r>
      <rPr>
        <sz val="12"/>
        <color rgb="FF383A37"/>
        <rFont val="Georgia"/>
        <family val="1"/>
      </rPr>
      <t>Caramel, dark sugar and malty sweet flavors and aromas can be intense, not cloying, while complementing fruitiness</t>
    </r>
  </si>
  <si>
    <r>
      <t>Phenols</t>
    </r>
    <r>
      <rPr>
        <sz val="12"/>
        <color rgb="FF383A37"/>
        <rFont val="Georgia"/>
        <family val="1"/>
      </rPr>
      <t>Clove-like phenolic flavor and aroma should not be evident</t>
    </r>
  </si>
  <si>
    <r>
      <t>Esters</t>
    </r>
    <r>
      <rPr>
        <sz val="12"/>
        <color rgb="FF383A37"/>
        <rFont val="Georgia"/>
        <family val="1"/>
      </rPr>
      <t>Complex fruity flavors reminiscent of raisins, dates, figs, grapes and/or plums emerge, often accompanied with a hint of wine-like character. Perception of alcohol can be extreme</t>
    </r>
  </si>
  <si>
    <r>
      <t>OG</t>
    </r>
    <r>
      <rPr>
        <sz val="12"/>
        <color rgb="FF383A37"/>
        <rFont val="Georgia"/>
        <family val="1"/>
      </rPr>
      <t>1.040 - 1.080</t>
    </r>
  </si>
  <si>
    <r>
      <t>FG</t>
    </r>
    <r>
      <rPr>
        <sz val="12"/>
        <color rgb="FF383A37"/>
        <rFont val="Georgia"/>
        <family val="1"/>
      </rPr>
      <t>1.010 - 1.014</t>
    </r>
  </si>
  <si>
    <r>
      <t>ABV</t>
    </r>
    <r>
      <rPr>
        <sz val="12"/>
        <color rgb="FF383A37"/>
        <rFont val="Georgia"/>
        <family val="1"/>
      </rPr>
      <t>4.4% - 8.4%</t>
    </r>
  </si>
  <si>
    <r>
      <t>IBU</t>
    </r>
    <r>
      <rPr>
        <sz val="12"/>
        <color rgb="FF383A37"/>
        <rFont val="Georgia"/>
        <family val="1"/>
      </rPr>
      <t>20 - 38</t>
    </r>
  </si>
  <si>
    <r>
      <t>BU:GU</t>
    </r>
    <r>
      <rPr>
        <sz val="12"/>
        <color rgb="FF383A37"/>
        <rFont val="Georgia"/>
        <family val="1"/>
      </rPr>
      <t>0.50 - 0.50</t>
    </r>
  </si>
  <si>
    <r>
      <t>SRM</t>
    </r>
    <r>
      <rPr>
        <sz val="12"/>
        <color rgb="FF383A37"/>
        <rFont val="Georgia"/>
        <family val="1"/>
      </rPr>
      <t>5 - 7</t>
    </r>
  </si>
  <si>
    <r>
      <t>CO2 Volumes</t>
    </r>
    <r>
      <rPr>
        <sz val="12"/>
        <color rgb="FF383A37"/>
        <rFont val="Georgia"/>
        <family val="1"/>
      </rPr>
      <t>3 - 3.5</t>
    </r>
  </si>
  <si>
    <r>
      <t>Apparent Attenuation</t>
    </r>
    <r>
      <rPr>
        <sz val="12"/>
        <color rgb="FF383A37"/>
        <rFont val="Georgia"/>
        <family val="1"/>
      </rPr>
      <t>83 - 75</t>
    </r>
  </si>
  <si>
    <r>
      <t>Brewing/Conditioning Process</t>
    </r>
    <r>
      <rPr>
        <sz val="12"/>
        <color rgb="FF383A37"/>
        <rFont val="Georgia"/>
        <family val="1"/>
      </rPr>
      <t>Often bottle-conditioned, sometimes dry-hopped and fermented at higher temperatures</t>
    </r>
  </si>
  <si>
    <r>
      <t>Color</t>
    </r>
    <r>
      <rPr>
        <sz val="12"/>
        <color rgb="FF383A37"/>
        <rFont val="Georgia"/>
        <family val="1"/>
      </rPr>
      <t>Gold to Amber</t>
    </r>
  </si>
  <si>
    <r>
      <t>Entrée</t>
    </r>
    <r>
      <rPr>
        <sz val="12"/>
        <color rgb="FF383A37"/>
        <rFont val="Georgia"/>
        <family val="1"/>
      </rPr>
      <t>Seafood (Mussels)</t>
    </r>
  </si>
  <si>
    <r>
      <t>Dessert</t>
    </r>
    <r>
      <rPr>
        <sz val="12"/>
        <color rgb="FF383A37"/>
        <rFont val="Georgia"/>
        <family val="1"/>
      </rPr>
      <t>Lemon Ginger Sorbet</t>
    </r>
  </si>
  <si>
    <r>
      <t>Hop Aroma/Flavor</t>
    </r>
    <r>
      <rPr>
        <sz val="12"/>
        <color rgb="FF383A37"/>
        <rFont val="Georgia"/>
        <family val="1"/>
      </rPr>
      <t>Hop aroma is low to medium. Hop bitterness is medium to medium-high</t>
    </r>
  </si>
  <si>
    <r>
      <t>Common Hop Ingredients</t>
    </r>
    <r>
      <rPr>
        <sz val="12"/>
        <color rgb="FF383A37"/>
        <rFont val="Georgia"/>
        <family val="1"/>
      </rPr>
      <t>Noble, Styrian, East Kent Goldings</t>
    </r>
  </si>
  <si>
    <r>
      <t>Malt Aroma/Flavor</t>
    </r>
    <r>
      <rPr>
        <sz val="12"/>
        <color rgb="FF383A37"/>
        <rFont val="Georgia"/>
        <family val="1"/>
      </rPr>
      <t>Malt flavor is low but provides foundation for the overall balance</t>
    </r>
  </si>
  <si>
    <r>
      <t>Common Malt Ingredients</t>
    </r>
    <r>
      <rPr>
        <sz val="12"/>
        <color rgb="FF383A37"/>
        <rFont val="Georgia"/>
        <family val="1"/>
      </rPr>
      <t>Pilsner, Munich, Malted Wheat</t>
    </r>
  </si>
  <si>
    <r>
      <t>Other ingredients</t>
    </r>
    <r>
      <rPr>
        <sz val="12"/>
        <color rgb="FF383A37"/>
        <rFont val="Georgia"/>
        <family val="1"/>
      </rPr>
      <t>Simple Sugar, Honey, Spelt. Specialty ingredients (spices, herbs, flowers, fruits, vegetables, fermentable sugars and carbohydrates, special yeasts of all types, wood aging, etc.) may contribute unique and signature character</t>
    </r>
  </si>
  <si>
    <r>
      <t>Water Type</t>
    </r>
    <r>
      <rPr>
        <sz val="12"/>
        <color rgb="FF383A37"/>
        <rFont val="Georgia"/>
        <family val="1"/>
      </rPr>
      <t>High sulfate content</t>
    </r>
  </si>
  <si>
    <r>
      <t>Phenols</t>
    </r>
    <r>
      <rPr>
        <sz val="12"/>
        <color rgb="FF383A37"/>
        <rFont val="Georgia"/>
        <family val="1"/>
      </rPr>
      <t>Pepper</t>
    </r>
  </si>
  <si>
    <r>
      <t>Esters</t>
    </r>
    <r>
      <rPr>
        <sz val="12"/>
        <color rgb="FF383A37"/>
        <rFont val="Georgia"/>
        <family val="1"/>
      </rPr>
      <t>Fruit (Orange, Lemon)</t>
    </r>
  </si>
  <si>
    <r>
      <t>Microorganisms</t>
    </r>
    <r>
      <rPr>
        <sz val="12"/>
        <color rgb="FF383A37"/>
        <rFont val="Georgia"/>
        <family val="1"/>
      </rPr>
      <t>Lactobacillus possible</t>
    </r>
  </si>
  <si>
    <r>
      <t>Fermentation Byproducts</t>
    </r>
    <r>
      <rPr>
        <sz val="12"/>
        <color rgb="FF383A37"/>
        <rFont val="Georgia"/>
        <family val="1"/>
      </rPr>
      <t>A small amount of sour or acidic flavor is acceptable when in balance with other components. These beers are often bottle-conditioned, with some yeast character and high carbonation</t>
    </r>
  </si>
  <si>
    <r>
      <t>OG</t>
    </r>
    <r>
      <rPr>
        <sz val="12"/>
        <color rgb="FF383A37"/>
        <rFont val="Georgia"/>
        <family val="1"/>
      </rPr>
      <t>1.070 - 1.092</t>
    </r>
  </si>
  <si>
    <r>
      <t>FG</t>
    </r>
    <r>
      <rPr>
        <sz val="12"/>
        <color rgb="FF383A37"/>
        <rFont val="Georgia"/>
        <family val="1"/>
      </rPr>
      <t>1.008 - 1.018</t>
    </r>
  </si>
  <si>
    <r>
      <t>ABV</t>
    </r>
    <r>
      <rPr>
        <sz val="12"/>
        <color rgb="FF383A37"/>
        <rFont val="Georgia"/>
        <family val="1"/>
      </rPr>
      <t>7.1% - 10.1%</t>
    </r>
  </si>
  <si>
    <r>
      <t>IBU</t>
    </r>
    <r>
      <rPr>
        <sz val="12"/>
        <color rgb="FF383A37"/>
        <rFont val="Georgia"/>
        <family val="1"/>
      </rPr>
      <t>20 - 45</t>
    </r>
  </si>
  <si>
    <r>
      <t>BU:GU</t>
    </r>
    <r>
      <rPr>
        <sz val="12"/>
        <color rgb="FF383A37"/>
        <rFont val="Georgia"/>
        <family val="1"/>
      </rPr>
      <t>0.29 - 0.49</t>
    </r>
  </si>
  <si>
    <r>
      <t>SRM</t>
    </r>
    <r>
      <rPr>
        <sz val="12"/>
        <color rgb="FF383A37"/>
        <rFont val="Georgia"/>
        <family val="1"/>
      </rPr>
      <t>4 - 9</t>
    </r>
  </si>
  <si>
    <r>
      <t>Apparent Attenuation</t>
    </r>
    <r>
      <rPr>
        <sz val="12"/>
        <color rgb="FF383A37"/>
        <rFont val="Georgia"/>
        <family val="1"/>
      </rPr>
      <t>80 - 89</t>
    </r>
  </si>
  <si>
    <r>
      <t>Entrée</t>
    </r>
    <r>
      <rPr>
        <sz val="12"/>
        <color rgb="FF383A37"/>
        <rFont val="Georgia"/>
        <family val="1"/>
      </rPr>
      <t>Roasted Turkey</t>
    </r>
  </si>
  <si>
    <r>
      <t>Dessert</t>
    </r>
    <r>
      <rPr>
        <sz val="12"/>
        <color rgb="FF383A37"/>
        <rFont val="Georgia"/>
        <family val="1"/>
      </rPr>
      <t>Caramelized Banana Creme Brulee</t>
    </r>
  </si>
  <si>
    <r>
      <t>Hop Aroma/Flavor</t>
    </r>
    <r>
      <rPr>
        <sz val="12"/>
        <color rgb="FF383A37"/>
        <rFont val="Georgia"/>
        <family val="1"/>
      </rPr>
      <t>Hop aroma and flavor are not perceived to low. Hop bitterness is medium to medium-high</t>
    </r>
  </si>
  <si>
    <r>
      <t>Common Hop Ingredients</t>
    </r>
    <r>
      <rPr>
        <sz val="12"/>
        <color rgb="FF383A37"/>
        <rFont val="Georgia"/>
        <family val="1"/>
      </rPr>
      <t>Tettnang, Czech Saaz</t>
    </r>
  </si>
  <si>
    <r>
      <t>Malt Aroma/Flavor</t>
    </r>
    <r>
      <rPr>
        <sz val="12"/>
        <color rgb="FF383A37"/>
        <rFont val="Georgia"/>
        <family val="1"/>
      </rPr>
      <t>Low sweetness from very pale malts is present</t>
    </r>
  </si>
  <si>
    <r>
      <t>Common Malt Ingredients</t>
    </r>
    <r>
      <rPr>
        <sz val="12"/>
        <color rgb="FF383A37"/>
        <rFont val="Georgia"/>
        <family val="1"/>
      </rPr>
      <t>Belgian Pilsner</t>
    </r>
  </si>
  <si>
    <r>
      <t>Other ingredients</t>
    </r>
    <r>
      <rPr>
        <sz val="12"/>
        <color rgb="FF383A37"/>
        <rFont val="Georgia"/>
        <family val="1"/>
      </rPr>
      <t>Brewing Sugar (occasionally)</t>
    </r>
  </si>
  <si>
    <r>
      <t>Water Type</t>
    </r>
    <r>
      <rPr>
        <sz val="12"/>
        <color rgb="FF383A37"/>
        <rFont val="Georgia"/>
        <family val="1"/>
      </rPr>
      <t>Soft Water</t>
    </r>
  </si>
  <si>
    <r>
      <t>Phenols</t>
    </r>
    <r>
      <rPr>
        <sz val="12"/>
        <color rgb="FF383A37"/>
        <rFont val="Georgia"/>
        <family val="1"/>
      </rPr>
      <t>Complex, sometimes mild spicy flavor. Clove-like phenolic flavor may be evident at very low levels</t>
    </r>
  </si>
  <si>
    <r>
      <t>Esters</t>
    </r>
    <r>
      <rPr>
        <sz val="12"/>
        <color rgb="FF383A37"/>
        <rFont val="Georgia"/>
        <family val="1"/>
      </rPr>
      <t>Fruit (Orange, Banana)</t>
    </r>
  </si>
  <si>
    <r>
      <t>Fermentation Byproducts</t>
    </r>
    <r>
      <rPr>
        <sz val="12"/>
        <color rgb="FF383A37"/>
        <rFont val="Georgia"/>
        <family val="1"/>
      </rPr>
      <t>Traditional tripels are bottle-conditioned and may exhibit slight yeast haze, but the yeast should not be intentionally roused</t>
    </r>
  </si>
  <si>
    <r>
      <t>FG</t>
    </r>
    <r>
      <rPr>
        <sz val="12"/>
        <color rgb="FF383A37"/>
        <rFont val="Georgia"/>
        <family val="1"/>
      </rPr>
      <t>1.004 - 1.010</t>
    </r>
  </si>
  <si>
    <r>
      <t>ABV</t>
    </r>
    <r>
      <rPr>
        <sz val="12"/>
        <color rgb="FF383A37"/>
        <rFont val="Georgia"/>
        <family val="1"/>
      </rPr>
      <t>4.3% - 5.7%</t>
    </r>
  </si>
  <si>
    <r>
      <t>IBU</t>
    </r>
    <r>
      <rPr>
        <sz val="12"/>
        <color rgb="FF383A37"/>
        <rFont val="Georgia"/>
        <family val="1"/>
      </rPr>
      <t>10 - 22</t>
    </r>
  </si>
  <si>
    <r>
      <t>BU:GU</t>
    </r>
    <r>
      <rPr>
        <sz val="12"/>
        <color rgb="FF383A37"/>
        <rFont val="Georgia"/>
        <family val="1"/>
      </rPr>
      <t>0.23 - 0.42</t>
    </r>
  </si>
  <si>
    <r>
      <t>SRM</t>
    </r>
    <r>
      <rPr>
        <sz val="12"/>
        <color rgb="FF383A37"/>
        <rFont val="Georgia"/>
        <family val="1"/>
      </rPr>
      <t>2 - 5</t>
    </r>
  </si>
  <si>
    <r>
      <t>Apparent Attenuation</t>
    </r>
    <r>
      <rPr>
        <sz val="12"/>
        <color rgb="FF383A37"/>
        <rFont val="Georgia"/>
        <family val="1"/>
      </rPr>
      <t>81 - 91</t>
    </r>
  </si>
  <si>
    <r>
      <t>Brewing/Conditioning Process</t>
    </r>
    <r>
      <rPr>
        <sz val="12"/>
        <color rgb="FF383A37"/>
        <rFont val="Georgia"/>
        <family val="1"/>
      </rPr>
      <t>Sometimes krausened for carbonation</t>
    </r>
  </si>
  <si>
    <r>
      <t>Color</t>
    </r>
    <r>
      <rPr>
        <sz val="12"/>
        <color rgb="FF383A37"/>
        <rFont val="Georgia"/>
        <family val="1"/>
      </rPr>
      <t>Straw to Gold</t>
    </r>
  </si>
  <si>
    <r>
      <t>Cheese</t>
    </r>
    <r>
      <rPr>
        <sz val="12"/>
        <color rgb="FF383A37"/>
        <rFont val="Georgia"/>
        <family val="1"/>
      </rPr>
      <t>Monterey Jack</t>
    </r>
  </si>
  <si>
    <r>
      <t>Entrée</t>
    </r>
    <r>
      <rPr>
        <sz val="12"/>
        <color rgb="FF383A37"/>
        <rFont val="Georgia"/>
        <family val="1"/>
      </rPr>
      <t>Salads, Mild Shellfish</t>
    </r>
  </si>
  <si>
    <r>
      <t>Dessert</t>
    </r>
    <r>
      <rPr>
        <sz val="12"/>
        <color rgb="FF383A37"/>
        <rFont val="Georgia"/>
        <family val="1"/>
      </rPr>
      <t>Lemon Custard Tart</t>
    </r>
  </si>
  <si>
    <r>
      <t>Hop Aroma/Flavor</t>
    </r>
    <r>
      <rPr>
        <sz val="12"/>
        <color rgb="FF383A37"/>
        <rFont val="Georgia"/>
        <family val="1"/>
      </rPr>
      <t>Hop aroma is usually absent, and hop flavor is very low to low. Hop bitterness is very low to low</t>
    </r>
  </si>
  <si>
    <r>
      <t>Common Hop Ingredients</t>
    </r>
    <r>
      <rPr>
        <sz val="12"/>
        <color rgb="FF383A37"/>
        <rFont val="Georgia"/>
        <family val="1"/>
      </rPr>
      <t>Liberty</t>
    </r>
  </si>
  <si>
    <r>
      <t>Malt Aroma/Flavor</t>
    </r>
    <r>
      <rPr>
        <sz val="12"/>
        <color rgb="FF383A37"/>
        <rFont val="Georgia"/>
        <family val="1"/>
      </rPr>
      <t>Grainy</t>
    </r>
  </si>
  <si>
    <r>
      <t>Other ingredients</t>
    </r>
    <r>
      <rPr>
        <sz val="12"/>
        <color rgb="FF383A37"/>
        <rFont val="Georgia"/>
        <family val="1"/>
      </rPr>
      <t>Simple Sugar, Maize</t>
    </r>
  </si>
  <si>
    <r>
      <t>Esters</t>
    </r>
    <r>
      <rPr>
        <sz val="12"/>
        <color rgb="FF383A37"/>
        <rFont val="Georgia"/>
        <family val="1"/>
      </rPr>
      <t>Not common to style.</t>
    </r>
  </si>
  <si>
    <r>
      <t>Fermentation Byproducts</t>
    </r>
    <r>
      <rPr>
        <sz val="12"/>
        <color rgb="FF383A37"/>
        <rFont val="Georgia"/>
        <family val="1"/>
      </rPr>
      <t>Fermentation-derived sulfur character and/or DMS flavor should be extremely low or absent from this style of beer. Diacetyl flavor should not be perceived</t>
    </r>
  </si>
  <si>
    <r>
      <t>OG</t>
    </r>
    <r>
      <rPr>
        <sz val="12"/>
        <color rgb="FF383A37"/>
        <rFont val="Georgia"/>
        <family val="1"/>
      </rPr>
      <t>1.060 - 1.080</t>
    </r>
  </si>
  <si>
    <r>
      <t>FG</t>
    </r>
    <r>
      <rPr>
        <sz val="12"/>
        <color rgb="FF383A37"/>
        <rFont val="Georgia"/>
        <family val="1"/>
      </rPr>
      <t>1.012 - 1.024</t>
    </r>
  </si>
  <si>
    <r>
      <t>ABV</t>
    </r>
    <r>
      <rPr>
        <sz val="12"/>
        <color rgb="FF383A37"/>
        <rFont val="Georgia"/>
        <family val="1"/>
      </rPr>
      <t>4.4% - 8.0%</t>
    </r>
  </si>
  <si>
    <r>
      <t>BU:GU</t>
    </r>
    <r>
      <rPr>
        <sz val="12"/>
        <color rgb="FF383A37"/>
        <rFont val="Georgia"/>
        <family val="1"/>
      </rPr>
      <t>0.33 - 0.38</t>
    </r>
  </si>
  <si>
    <r>
      <t>SRM</t>
    </r>
    <r>
      <rPr>
        <sz val="12"/>
        <color rgb="FF383A37"/>
        <rFont val="Georgia"/>
        <family val="1"/>
      </rPr>
      <t>7 - 16</t>
    </r>
  </si>
  <si>
    <r>
      <t>Apparent Attenuation</t>
    </r>
    <r>
      <rPr>
        <sz val="12"/>
        <color rgb="FF383A37"/>
        <rFont val="Georgia"/>
        <family val="1"/>
      </rPr>
      <t>70 - 80</t>
    </r>
  </si>
  <si>
    <r>
      <t>Color</t>
    </r>
    <r>
      <rPr>
        <sz val="12"/>
        <color rgb="FF383A37"/>
        <rFont val="Georgia"/>
        <family val="1"/>
      </rPr>
      <t>Light Amber to Chestnut Brown or Red</t>
    </r>
  </si>
  <si>
    <r>
      <t>Country of Origin</t>
    </r>
    <r>
      <rPr>
        <sz val="12"/>
        <color rgb="FF383A37"/>
        <rFont val="Georgia"/>
        <family val="1"/>
      </rPr>
      <t>France</t>
    </r>
  </si>
  <si>
    <r>
      <t>Cheese</t>
    </r>
    <r>
      <rPr>
        <sz val="12"/>
        <color rgb="FF383A37"/>
        <rFont val="Georgia"/>
        <family val="1"/>
      </rPr>
      <t>Soft Ripened Cheeses</t>
    </r>
  </si>
  <si>
    <r>
      <t>Entrée</t>
    </r>
    <r>
      <rPr>
        <sz val="12"/>
        <color rgb="FF383A37"/>
        <rFont val="Georgia"/>
        <family val="1"/>
      </rPr>
      <t>Roasted Lamb with Mint</t>
    </r>
  </si>
  <si>
    <r>
      <t>Dessert</t>
    </r>
    <r>
      <rPr>
        <sz val="12"/>
        <color rgb="FF383A37"/>
        <rFont val="Georgia"/>
        <family val="1"/>
      </rPr>
      <t>Pecan Pie</t>
    </r>
  </si>
  <si>
    <r>
      <t>Hop Aroma/Flavor</t>
    </r>
    <r>
      <rPr>
        <sz val="12"/>
        <color rgb="FF383A37"/>
        <rFont val="Georgia"/>
        <family val="1"/>
      </rPr>
      <t>Hop aroma and flavor are low to medium, from noble-type hops. Hop bitterness is low to medium</t>
    </r>
  </si>
  <si>
    <r>
      <t>Common Hop Ingredients</t>
    </r>
    <r>
      <rPr>
        <sz val="12"/>
        <color rgb="FF383A37"/>
        <rFont val="Georgia"/>
        <family val="1"/>
      </rPr>
      <t>Fuggle</t>
    </r>
  </si>
  <si>
    <r>
      <t>Malt Aroma/Flavor</t>
    </r>
    <r>
      <rPr>
        <sz val="12"/>
        <color rgb="FF383A37"/>
        <rFont val="Georgia"/>
        <family val="1"/>
      </rPr>
      <t>Toast, Caramel, Toffee</t>
    </r>
  </si>
  <si>
    <r>
      <t>Common Malt Ingredients</t>
    </r>
    <r>
      <rPr>
        <sz val="12"/>
        <color rgb="FF383A37"/>
        <rFont val="Georgia"/>
        <family val="1"/>
      </rPr>
      <t>CaraVienna, Pilsner, Munich, Black Patent</t>
    </r>
  </si>
  <si>
    <r>
      <t>Esters</t>
    </r>
    <r>
      <rPr>
        <sz val="12"/>
        <color rgb="FF383A37"/>
        <rFont val="Georgia"/>
        <family val="1"/>
      </rPr>
      <t>Fruity-ester flavors can be low to medium in intensity</t>
    </r>
  </si>
  <si>
    <r>
      <t>Fermentation Byproducts</t>
    </r>
    <r>
      <rPr>
        <sz val="12"/>
        <color rgb="FF383A37"/>
        <rFont val="Georgia"/>
        <family val="1"/>
      </rPr>
      <t>Diacetyl flavor should not be perceived. May have Brettanomyces yeast-derived aromas that are slightly acidic, fruity, horsey, goaty and/or leather-like. Earthy, cellar-like, corky and/or musty aromas are acceptable</t>
    </r>
  </si>
  <si>
    <r>
      <t>OG</t>
    </r>
    <r>
      <rPr>
        <sz val="12"/>
        <color rgb="FF383A37"/>
        <rFont val="Georgia"/>
        <family val="1"/>
      </rPr>
      <t>1.045 - 1.056</t>
    </r>
  </si>
  <si>
    <r>
      <t>ABV</t>
    </r>
    <r>
      <rPr>
        <sz val="12"/>
        <color rgb="FF383A37"/>
        <rFont val="Georgia"/>
        <family val="1"/>
      </rPr>
      <t>4.6% - 5.7%</t>
    </r>
  </si>
  <si>
    <r>
      <t>IBU</t>
    </r>
    <r>
      <rPr>
        <sz val="12"/>
        <color rgb="FF383A37"/>
        <rFont val="Georgia"/>
        <family val="1"/>
      </rPr>
      <t>35 - 45</t>
    </r>
  </si>
  <si>
    <r>
      <t>BU:GU</t>
    </r>
    <r>
      <rPr>
        <sz val="12"/>
        <color rgb="FF383A37"/>
        <rFont val="Georgia"/>
        <family val="1"/>
      </rPr>
      <t>0.78 - 0.80</t>
    </r>
  </si>
  <si>
    <r>
      <t>SRM</t>
    </r>
    <r>
      <rPr>
        <sz val="12"/>
        <color rgb="FF383A37"/>
        <rFont val="Georgia"/>
        <family val="1"/>
      </rPr>
      <t>8 - 15</t>
    </r>
  </si>
  <si>
    <r>
      <t>Apparent Attenuation</t>
    </r>
    <r>
      <rPr>
        <sz val="12"/>
        <color rgb="FF383A37"/>
        <rFont val="Georgia"/>
        <family val="1"/>
      </rPr>
      <t>68 - 78</t>
    </r>
  </si>
  <si>
    <r>
      <t>Brewing/Conditioning Process</t>
    </r>
    <r>
      <rPr>
        <sz val="12"/>
        <color rgb="FF383A37"/>
        <rFont val="Georgia"/>
        <family val="1"/>
      </rPr>
      <t>Cool ale fermentation temperatures used to ferment this lager beer</t>
    </r>
  </si>
  <si>
    <r>
      <t>Color</t>
    </r>
    <r>
      <rPr>
        <sz val="12"/>
        <color rgb="FF383A37"/>
        <rFont val="Georgia"/>
        <family val="1"/>
      </rPr>
      <t>Light Amber to Medium Amber</t>
    </r>
  </si>
  <si>
    <r>
      <t>Cheese</t>
    </r>
    <r>
      <rPr>
        <sz val="12"/>
        <color rgb="FF383A37"/>
        <rFont val="Georgia"/>
        <family val="1"/>
      </rPr>
      <t>Feta</t>
    </r>
  </si>
  <si>
    <r>
      <t>Entrée</t>
    </r>
    <r>
      <rPr>
        <sz val="12"/>
        <color rgb="FF383A37"/>
        <rFont val="Georgia"/>
        <family val="1"/>
      </rPr>
      <t>Pork Loin</t>
    </r>
  </si>
  <si>
    <r>
      <t>Hop Aroma/Flavor</t>
    </r>
    <r>
      <rPr>
        <sz val="12"/>
        <color rgb="FF383A37"/>
        <rFont val="Georgia"/>
        <family val="1"/>
      </rPr>
      <t>Hop flavor is low to medium-low and may present as Woody, Rustic, or Minty. Hop bitterness is medium to medium-high</t>
    </r>
  </si>
  <si>
    <r>
      <t>Common Hop Ingredients</t>
    </r>
    <r>
      <rPr>
        <sz val="12"/>
        <color rgb="FF383A37"/>
        <rFont val="Georgia"/>
        <family val="1"/>
      </rPr>
      <t>Northern Brewer</t>
    </r>
  </si>
  <si>
    <r>
      <t>Malt Aroma/Flavor</t>
    </r>
    <r>
      <rPr>
        <sz val="12"/>
        <color rgb="FF383A37"/>
        <rFont val="Georgia"/>
        <family val="1"/>
      </rPr>
      <t>Noticeable caramel-type malt flavor should be present</t>
    </r>
  </si>
  <si>
    <r>
      <t>Common Malt Ingredients</t>
    </r>
    <r>
      <rPr>
        <sz val="12"/>
        <color rgb="FF383A37"/>
        <rFont val="Georgia"/>
        <family val="1"/>
      </rPr>
      <t>Pale, Munich, Crystal, Victory, Pale Chocolate</t>
    </r>
  </si>
  <si>
    <r>
      <t>Esters</t>
    </r>
    <r>
      <rPr>
        <sz val="12"/>
        <color rgb="FF383A37"/>
        <rFont val="Georgia"/>
        <family val="1"/>
      </rPr>
      <t>Fruity-ester aromas, if present, should be low to medium-low</t>
    </r>
  </si>
  <si>
    <r>
      <t>ABV</t>
    </r>
    <r>
      <rPr>
        <sz val="12"/>
        <color rgb="FF383A37"/>
        <rFont val="Georgia"/>
        <family val="1"/>
      </rPr>
      <t>4.6% - 5.6%</t>
    </r>
  </si>
  <si>
    <r>
      <t>IBU</t>
    </r>
    <r>
      <rPr>
        <sz val="12"/>
        <color rgb="FF383A37"/>
        <rFont val="Georgia"/>
        <family val="1"/>
      </rPr>
      <t>25 - 52</t>
    </r>
  </si>
  <si>
    <r>
      <t>BU:GU</t>
    </r>
    <r>
      <rPr>
        <sz val="12"/>
        <color rgb="FF383A37"/>
        <rFont val="Georgia"/>
        <family val="1"/>
      </rPr>
      <t>0.57 - 1.00</t>
    </r>
  </si>
  <si>
    <r>
      <t>SRM</t>
    </r>
    <r>
      <rPr>
        <sz val="12"/>
        <color rgb="FF383A37"/>
        <rFont val="Georgia"/>
        <family val="1"/>
      </rPr>
      <t>11 - 19</t>
    </r>
  </si>
  <si>
    <r>
      <t>CO2 Volumes</t>
    </r>
    <r>
      <rPr>
        <sz val="12"/>
        <color rgb="FF383A37"/>
        <rFont val="Georgia"/>
        <family val="1"/>
      </rPr>
      <t>1.5 - 2.5</t>
    </r>
  </si>
  <si>
    <r>
      <t>Apparent Attenuation</t>
    </r>
    <r>
      <rPr>
        <sz val="12"/>
        <color rgb="FF383A37"/>
        <rFont val="Georgia"/>
        <family val="1"/>
      </rPr>
      <t>73 - 82</t>
    </r>
  </si>
  <si>
    <r>
      <t>Brewing/Conditioning Process</t>
    </r>
    <r>
      <rPr>
        <sz val="12"/>
        <color rgb="FF383A37"/>
        <rFont val="Georgia"/>
        <family val="1"/>
      </rPr>
      <t>A decoction mash is sometimes used. Cooler ale fermentation and lagering is common</t>
    </r>
  </si>
  <si>
    <r>
      <t>Color</t>
    </r>
    <r>
      <rPr>
        <sz val="12"/>
        <color rgb="FF383A37"/>
        <rFont val="Georgia"/>
        <family val="1"/>
      </rPr>
      <t>Copper to Dark Brown</t>
    </r>
  </si>
  <si>
    <r>
      <t>Cheese</t>
    </r>
    <r>
      <rPr>
        <sz val="12"/>
        <color rgb="FF383A37"/>
        <rFont val="Georgia"/>
        <family val="1"/>
      </rPr>
      <t>Emmental</t>
    </r>
  </si>
  <si>
    <r>
      <t>Entrée</t>
    </r>
    <r>
      <rPr>
        <sz val="12"/>
        <color rgb="FF383A37"/>
        <rFont val="Georgia"/>
        <family val="1"/>
      </rPr>
      <t>Grilled Salmon</t>
    </r>
  </si>
  <si>
    <r>
      <t>Hop Aroma/Flavor</t>
    </r>
    <r>
      <rPr>
        <sz val="12"/>
        <color rgb="FF383A37"/>
        <rFont val="Georgia"/>
        <family val="1"/>
      </rPr>
      <t>Hop flavor is low to medium. Hop bitterness is medium to very high (although the 25 to 35 IBU range is more normal for the majority of Altbiers from Düsseldorf)</t>
    </r>
  </si>
  <si>
    <r>
      <t>Common Hop Ingredients</t>
    </r>
    <r>
      <rPr>
        <sz val="12"/>
        <color rgb="FF383A37"/>
        <rFont val="Georgia"/>
        <family val="1"/>
      </rPr>
      <t>Spalt, Magnum, Tettnang</t>
    </r>
  </si>
  <si>
    <r>
      <t>Malt Aroma/Flavor</t>
    </r>
    <r>
      <rPr>
        <sz val="12"/>
        <color rgb="FF383A37"/>
        <rFont val="Georgia"/>
        <family val="1"/>
      </rPr>
      <t>Sweet malt character that may have a rich, biscuity, and/or light caramel flavor</t>
    </r>
  </si>
  <si>
    <r>
      <t>Common Malt Ingredients</t>
    </r>
    <r>
      <rPr>
        <sz val="12"/>
        <color rgb="FF383A37"/>
        <rFont val="Georgia"/>
        <family val="1"/>
      </rPr>
      <t>Pilsner, Munich, CaraMunich, Carafa Special II, Aromatic</t>
    </r>
  </si>
  <si>
    <r>
      <t>Other ingredients</t>
    </r>
    <r>
      <rPr>
        <sz val="12"/>
        <color rgb="FF383A37"/>
        <rFont val="Georgia"/>
        <family val="1"/>
      </rPr>
      <t>Wheat (occasionally)</t>
    </r>
  </si>
  <si>
    <r>
      <t>Esters</t>
    </r>
    <r>
      <rPr>
        <sz val="12"/>
        <color rgb="FF383A37"/>
        <rFont val="Georgia"/>
        <family val="1"/>
      </rPr>
      <t>Fruity-ester flavors, if present, can be low</t>
    </r>
  </si>
  <si>
    <r>
      <t>OG</t>
    </r>
    <r>
      <rPr>
        <sz val="12"/>
        <color rgb="FF383A37"/>
        <rFont val="Georgia"/>
        <family val="1"/>
      </rPr>
      <t>1.042 - 1.048</t>
    </r>
  </si>
  <si>
    <r>
      <t>IBU</t>
    </r>
    <r>
      <rPr>
        <sz val="12"/>
        <color rgb="FF383A37"/>
        <rFont val="Georgia"/>
        <family val="1"/>
      </rPr>
      <t>18 - 28</t>
    </r>
  </si>
  <si>
    <r>
      <t>BU:GU</t>
    </r>
    <r>
      <rPr>
        <sz val="12"/>
        <color rgb="FF383A37"/>
        <rFont val="Georgia"/>
        <family val="1"/>
      </rPr>
      <t>0.43 - 0.58</t>
    </r>
  </si>
  <si>
    <r>
      <t>SRM</t>
    </r>
    <r>
      <rPr>
        <sz val="12"/>
        <color rgb="FF383A37"/>
        <rFont val="Georgia"/>
        <family val="1"/>
      </rPr>
      <t>3 - 6</t>
    </r>
  </si>
  <si>
    <r>
      <t>Apparent Attenuation</t>
    </r>
    <r>
      <rPr>
        <sz val="12"/>
        <color rgb="FF383A37"/>
        <rFont val="Georgia"/>
        <family val="1"/>
      </rPr>
      <t>79 - 86</t>
    </r>
  </si>
  <si>
    <r>
      <t>Brewing/Conditioning Process</t>
    </r>
    <r>
      <rPr>
        <sz val="12"/>
        <color rgb="FF383A37"/>
        <rFont val="Georgia"/>
        <family val="1"/>
      </rPr>
      <t>Commonly conditioned at colder temperatures (known as 'lagering')</t>
    </r>
  </si>
  <si>
    <r>
      <t>Cheese</t>
    </r>
    <r>
      <rPr>
        <sz val="12"/>
        <color rgb="FF383A37"/>
        <rFont val="Georgia"/>
        <family val="1"/>
      </rPr>
      <t>Nutty Cheeses</t>
    </r>
  </si>
  <si>
    <r>
      <t>Entrée</t>
    </r>
    <r>
      <rPr>
        <sz val="12"/>
        <color rgb="FF383A37"/>
        <rFont val="Georgia"/>
        <family val="1"/>
      </rPr>
      <t>Bratwurst</t>
    </r>
  </si>
  <si>
    <r>
      <t>Dessert</t>
    </r>
    <r>
      <rPr>
        <sz val="12"/>
        <color rgb="FF383A37"/>
        <rFont val="Georgia"/>
        <family val="1"/>
      </rPr>
      <t>Light Apricot Cake</t>
    </r>
  </si>
  <si>
    <r>
      <t>Hop Aroma/Flavor</t>
    </r>
    <r>
      <rPr>
        <sz val="12"/>
        <color rgb="FF383A37"/>
        <rFont val="Georgia"/>
        <family val="1"/>
      </rPr>
      <t>Hop flavor is low and, if evident, should express noble hop character. Hop bitterness is medium</t>
    </r>
  </si>
  <si>
    <r>
      <t>Malt Aroma/Flavor</t>
    </r>
    <r>
      <rPr>
        <sz val="12"/>
        <color rgb="FF383A37"/>
        <rFont val="Georgia"/>
        <family val="1"/>
      </rPr>
      <t>Malt character is a very low to low with a soft sweetness</t>
    </r>
  </si>
  <si>
    <r>
      <t>Common Malt Ingredients</t>
    </r>
    <r>
      <rPr>
        <sz val="12"/>
        <color rgb="FF383A37"/>
        <rFont val="Georgia"/>
        <family val="1"/>
      </rPr>
      <t>Pilsner, Vienna</t>
    </r>
  </si>
  <si>
    <r>
      <t>Esters</t>
    </r>
    <r>
      <rPr>
        <sz val="12"/>
        <color rgb="FF383A37"/>
        <rFont val="Georgia"/>
        <family val="1"/>
      </rPr>
      <t>Light pear, apple or Riesling wine-like fruitiness may be apparent</t>
    </r>
  </si>
  <si>
    <r>
      <t>Fermentation Byproducts</t>
    </r>
    <r>
      <rPr>
        <sz val="12"/>
        <color rgb="FF383A37"/>
        <rFont val="Georgia"/>
        <family val="1"/>
      </rPr>
      <t>Low-level sulfur notes are acceptable</t>
    </r>
  </si>
  <si>
    <r>
      <t>OG</t>
    </r>
    <r>
      <rPr>
        <sz val="12"/>
        <color rgb="FF383A37"/>
        <rFont val="Georgia"/>
        <family val="1"/>
      </rPr>
      <t>1.040 - 1.048</t>
    </r>
  </si>
  <si>
    <r>
      <t>ABV</t>
    </r>
    <r>
      <rPr>
        <sz val="12"/>
        <color rgb="FF383A37"/>
        <rFont val="Georgia"/>
        <family val="1"/>
      </rPr>
      <t>4.1% - 4.6%</t>
    </r>
  </si>
  <si>
    <r>
      <t>IBU</t>
    </r>
    <r>
      <rPr>
        <sz val="12"/>
        <color rgb="FF383A37"/>
        <rFont val="Georgia"/>
        <family val="1"/>
      </rPr>
      <t>20 - 28</t>
    </r>
  </si>
  <si>
    <r>
      <t>Apparent Attenuation</t>
    </r>
    <r>
      <rPr>
        <sz val="12"/>
        <color rgb="FF383A37"/>
        <rFont val="Georgia"/>
        <family val="1"/>
      </rPr>
      <t>71 - 75</t>
    </r>
  </si>
  <si>
    <r>
      <t>Color</t>
    </r>
    <r>
      <rPr>
        <sz val="12"/>
        <color rgb="FF383A37"/>
        <rFont val="Georgia"/>
        <family val="1"/>
      </rPr>
      <t>Copper-Red to Reddish Brown</t>
    </r>
  </si>
  <si>
    <r>
      <t>Country of Origin</t>
    </r>
    <r>
      <rPr>
        <sz val="12"/>
        <color rgb="FF383A37"/>
        <rFont val="Georgia"/>
        <family val="1"/>
      </rPr>
      <t>Ireland</t>
    </r>
  </si>
  <si>
    <r>
      <t>Cheese</t>
    </r>
    <r>
      <rPr>
        <sz val="12"/>
        <color rgb="FF383A37"/>
        <rFont val="Georgia"/>
        <family val="1"/>
      </rPr>
      <t>Cheddar</t>
    </r>
  </si>
  <si>
    <r>
      <t>Entrée</t>
    </r>
    <r>
      <rPr>
        <sz val="12"/>
        <color rgb="FF383A37"/>
        <rFont val="Georgia"/>
        <family val="1"/>
      </rPr>
      <t>Roasted Vegetables</t>
    </r>
  </si>
  <si>
    <r>
      <t>Dessert</t>
    </r>
    <r>
      <rPr>
        <sz val="12"/>
        <color rgb="FF383A37"/>
        <rFont val="Georgia"/>
        <family val="1"/>
      </rPr>
      <t>Poached Pears</t>
    </r>
  </si>
  <si>
    <r>
      <t>Hop Aroma/Flavor</t>
    </r>
    <r>
      <rPr>
        <sz val="12"/>
        <color rgb="FF383A37"/>
        <rFont val="Georgia"/>
        <family val="1"/>
      </rPr>
      <t>Hop aroma is not perceived or low. Hop flavor and bitterness are medium</t>
    </r>
  </si>
  <si>
    <r>
      <t>Malt Aroma/Flavor</t>
    </r>
    <r>
      <rPr>
        <sz val="12"/>
        <color rgb="FF383A37"/>
        <rFont val="Georgia"/>
        <family val="1"/>
      </rPr>
      <t>Low to medium candy-like caramel malt sweetness is present. May have a subtle degree of roasted barley or roasted malt character and complexity</t>
    </r>
  </si>
  <si>
    <r>
      <t>Common Malt Ingredients</t>
    </r>
    <r>
      <rPr>
        <sz val="12"/>
        <color rgb="FF383A37"/>
        <rFont val="Georgia"/>
        <family val="1"/>
      </rPr>
      <t>Pale, Crystal, Roasted Barley</t>
    </r>
  </si>
  <si>
    <r>
      <t>Other ingredients</t>
    </r>
    <r>
      <rPr>
        <sz val="12"/>
        <color rgb="FF383A37"/>
        <rFont val="Georgia"/>
        <family val="1"/>
      </rPr>
      <t>May contain corn, rice or sugar adjuncts</t>
    </r>
  </si>
  <si>
    <r>
      <t>Esters</t>
    </r>
    <r>
      <rPr>
        <sz val="12"/>
        <color rgb="FF383A37"/>
        <rFont val="Georgia"/>
        <family val="1"/>
      </rPr>
      <t>Low levels of fruity-ester flavor are acceptable</t>
    </r>
  </si>
  <si>
    <r>
      <t>Fermentation Byproducts</t>
    </r>
    <r>
      <rPr>
        <sz val="12"/>
        <color rgb="FF383A37"/>
        <rFont val="Georgia"/>
        <family val="1"/>
      </rPr>
      <t>Diacetyl should be absent or at very low levels</t>
    </r>
  </si>
  <si>
    <r>
      <t>FG</t>
    </r>
    <r>
      <rPr>
        <sz val="12"/>
        <color rgb="FF383A37"/>
        <rFont val="Georgia"/>
        <family val="1"/>
      </rPr>
      <t>1.020 - 1.030</t>
    </r>
  </si>
  <si>
    <r>
      <t>ABV</t>
    </r>
    <r>
      <rPr>
        <sz val="12"/>
        <color rgb="FF383A37"/>
        <rFont val="Georgia"/>
        <family val="1"/>
      </rPr>
      <t>7.0% - 12.0%</t>
    </r>
  </si>
  <si>
    <r>
      <t>IBU</t>
    </r>
    <r>
      <rPr>
        <sz val="12"/>
        <color rgb="FF383A37"/>
        <rFont val="Georgia"/>
        <family val="1"/>
      </rPr>
      <t>35 - 50</t>
    </r>
  </si>
  <si>
    <r>
      <t>BU:GU</t>
    </r>
    <r>
      <rPr>
        <sz val="12"/>
        <color rgb="FF383A37"/>
        <rFont val="Georgia"/>
        <family val="1"/>
      </rPr>
      <t>0.44 - 0.50</t>
    </r>
  </si>
  <si>
    <r>
      <t>SRM</t>
    </r>
    <r>
      <rPr>
        <sz val="12"/>
        <color rgb="FF383A37"/>
        <rFont val="Georgia"/>
        <family val="1"/>
      </rPr>
      <t>40+</t>
    </r>
  </si>
  <si>
    <r>
      <t>Color</t>
    </r>
    <r>
      <rPr>
        <sz val="12"/>
        <color rgb="FF383A37"/>
        <rFont val="Georgia"/>
        <family val="1"/>
      </rPr>
      <t>Black</t>
    </r>
  </si>
  <si>
    <r>
      <t>Cheese</t>
    </r>
    <r>
      <rPr>
        <sz val="12"/>
        <color rgb="FF383A37"/>
        <rFont val="Georgia"/>
        <family val="1"/>
      </rPr>
      <t>Smoked Gouda</t>
    </r>
  </si>
  <si>
    <r>
      <t>Entrée</t>
    </r>
    <r>
      <rPr>
        <sz val="12"/>
        <color rgb="FF383A37"/>
        <rFont val="Georgia"/>
        <family val="1"/>
      </rPr>
      <t>Chicken Mole Enchiladas</t>
    </r>
  </si>
  <si>
    <r>
      <t>Dessert</t>
    </r>
    <r>
      <rPr>
        <sz val="12"/>
        <color rgb="FF383A37"/>
        <rFont val="Georgia"/>
        <family val="1"/>
      </rPr>
      <t>Blondie Butterscotch Brownies</t>
    </r>
  </si>
  <si>
    <r>
      <t>Hop Aroma/Flavor</t>
    </r>
    <r>
      <rPr>
        <sz val="12"/>
        <color rgb="FF383A37"/>
        <rFont val="Georgia"/>
        <family val="1"/>
      </rPr>
      <t>Hop aroma and flavor are low to medium-high. Hop bitterness is medium-low to medium</t>
    </r>
  </si>
  <si>
    <r>
      <t>Malt Aroma/Flavor</t>
    </r>
    <r>
      <rPr>
        <sz val="12"/>
        <color rgb="FF383A37"/>
        <rFont val="Georgia"/>
        <family val="1"/>
      </rPr>
      <t>No roasted barley or strong burnt/black malt character should be perceived. Medium malt, caramel and cocoa-like sweetness is present</t>
    </r>
  </si>
  <si>
    <r>
      <t>Esters</t>
    </r>
    <r>
      <rPr>
        <sz val="12"/>
        <color rgb="FF383A37"/>
        <rFont val="Georgia"/>
        <family val="1"/>
      </rPr>
      <t>Ale-like fruity ester flavors should be evident but not overpowering, complementing hop character and malt-derived sweetness</t>
    </r>
  </si>
  <si>
    <r>
      <t>Fermentation Byproducts</t>
    </r>
    <r>
      <rPr>
        <sz val="12"/>
        <color rgb="FF383A37"/>
        <rFont val="Georgia"/>
        <family val="1"/>
      </rPr>
      <t>Diacetyl should be absent</t>
    </r>
  </si>
  <si>
    <r>
      <t>OG</t>
    </r>
    <r>
      <rPr>
        <sz val="12"/>
        <color rgb="FF383A37"/>
        <rFont val="Georgia"/>
        <family val="1"/>
      </rPr>
      <t>1.072 - 1.092</t>
    </r>
  </si>
  <si>
    <r>
      <t>FG</t>
    </r>
    <r>
      <rPr>
        <sz val="12"/>
        <color rgb="FF383A37"/>
        <rFont val="Georgia"/>
        <family val="1"/>
      </rPr>
      <t>1.016 - 1.022</t>
    </r>
  </si>
  <si>
    <r>
      <t>ABV</t>
    </r>
    <r>
      <rPr>
        <sz val="12"/>
        <color rgb="FF383A37"/>
        <rFont val="Georgia"/>
        <family val="1"/>
      </rPr>
      <t>7.6% - 9.3%</t>
    </r>
  </si>
  <si>
    <r>
      <t>IBU</t>
    </r>
    <r>
      <rPr>
        <sz val="12"/>
        <color rgb="FF383A37"/>
        <rFont val="Georgia"/>
        <family val="1"/>
      </rPr>
      <t>35 - 40</t>
    </r>
  </si>
  <si>
    <r>
      <t>BU:GU</t>
    </r>
    <r>
      <rPr>
        <sz val="12"/>
        <color rgb="FF383A37"/>
        <rFont val="Georgia"/>
        <family val="1"/>
      </rPr>
      <t>0.47 - 0.49</t>
    </r>
  </si>
  <si>
    <r>
      <t>Apparent Attenuation</t>
    </r>
    <r>
      <rPr>
        <sz val="12"/>
        <color rgb="FF383A37"/>
        <rFont val="Georgia"/>
        <family val="1"/>
      </rPr>
      <t>76 - 78</t>
    </r>
  </si>
  <si>
    <r>
      <t>Clarity</t>
    </r>
    <r>
      <rPr>
        <sz val="12"/>
        <color rgb="FF383A37"/>
        <rFont val="Georgia"/>
        <family val="1"/>
      </rPr>
      <t>Clear to Opaque</t>
    </r>
  </si>
  <si>
    <r>
      <t>Brewing/Conditioning Process</t>
    </r>
    <r>
      <rPr>
        <sz val="12"/>
        <color rgb="FF383A37"/>
        <rFont val="Georgia"/>
        <family val="1"/>
      </rPr>
      <t>Brewed with lager yeast and cold-fermented</t>
    </r>
  </si>
  <si>
    <r>
      <t>Color</t>
    </r>
    <r>
      <rPr>
        <sz val="12"/>
        <color rgb="FF383A37"/>
        <rFont val="Georgia"/>
        <family val="1"/>
      </rPr>
      <t>Very Deep Ruby or Garnet to Black</t>
    </r>
  </si>
  <si>
    <r>
      <t>Entrée</t>
    </r>
    <r>
      <rPr>
        <sz val="12"/>
        <color rgb="FF383A37"/>
        <rFont val="Georgia"/>
        <family val="1"/>
      </rPr>
      <t>Prime Rib</t>
    </r>
  </si>
  <si>
    <r>
      <t>Dessert</t>
    </r>
    <r>
      <rPr>
        <sz val="12"/>
        <color rgb="FF383A37"/>
        <rFont val="Georgia"/>
        <family val="1"/>
      </rPr>
      <t>Deconstructed S'mores</t>
    </r>
  </si>
  <si>
    <r>
      <t>Hop Aroma/Flavor</t>
    </r>
    <r>
      <rPr>
        <sz val="12"/>
        <color rgb="FF383A37"/>
        <rFont val="Georgia"/>
        <family val="1"/>
      </rPr>
      <t>Hop aroma and flavor are very low. Hop bitterness is low to medium-low</t>
    </r>
  </si>
  <si>
    <r>
      <t>Malt Aroma/Flavor</t>
    </r>
    <r>
      <rPr>
        <sz val="12"/>
        <color rgb="FF383A37"/>
        <rFont val="Georgia"/>
        <family val="1"/>
      </rPr>
      <t>Distinctive malt aromas of caramelized sugars, licorice, and chocolate-like notes of roasted malts and dark sugars are present. Roasted dark malts sometimes contribute a coffee-like roasted barley aroma. Low smoky aroma from malt may be evident. Debittered roasted malts are best used for this style</t>
    </r>
  </si>
  <si>
    <r>
      <t>Common Malt Ingredients</t>
    </r>
    <r>
      <rPr>
        <sz val="12"/>
        <color rgb="FF383A37"/>
        <rFont val="Georgia"/>
        <family val="1"/>
      </rPr>
      <t>Munich, Vienna, Pilsner, Crystal, Special "B", Carafa Special II, Chocolate</t>
    </r>
  </si>
  <si>
    <r>
      <t>Esters</t>
    </r>
    <r>
      <rPr>
        <sz val="12"/>
        <color rgb="FF383A37"/>
        <rFont val="Georgia"/>
        <family val="1"/>
      </rPr>
      <t>May include very low to low complex alcohol flavors and/or lager fruitiness such as berries, grapes, plums, but not banana; ale-like fruitiness from warm temperature fermentation is not appropriate</t>
    </r>
  </si>
  <si>
    <r>
      <t>Fermentation Byproducts</t>
    </r>
    <r>
      <rPr>
        <sz val="12"/>
        <color rgb="FF383A37"/>
        <rFont val="Georgia"/>
        <family val="1"/>
      </rPr>
      <t>Diacetyl and DMS flavors should not be apparent</t>
    </r>
  </si>
  <si>
    <r>
      <t>FG</t>
    </r>
    <r>
      <rPr>
        <sz val="12"/>
        <color rgb="FF383A37"/>
        <rFont val="Georgia"/>
        <family val="1"/>
      </rPr>
      <t>1.006 - 1.014</t>
    </r>
  </si>
  <si>
    <r>
      <t>ABV</t>
    </r>
    <r>
      <rPr>
        <sz val="12"/>
        <color rgb="FF383A37"/>
        <rFont val="Georgia"/>
        <family val="1"/>
      </rPr>
      <t>4.4% - 6.0%</t>
    </r>
  </si>
  <si>
    <r>
      <t>BU:GU</t>
    </r>
    <r>
      <rPr>
        <sz val="12"/>
        <color rgb="FF383A37"/>
        <rFont val="Georgia"/>
        <family val="1"/>
      </rPr>
      <t>0.50 - 0.60</t>
    </r>
  </si>
  <si>
    <r>
      <t>SRM</t>
    </r>
    <r>
      <rPr>
        <sz val="12"/>
        <color rgb="FF383A37"/>
        <rFont val="Georgia"/>
        <family val="1"/>
      </rPr>
      <t>30 - 35</t>
    </r>
  </si>
  <si>
    <r>
      <t>Apparent Attenuation</t>
    </r>
    <r>
      <rPr>
        <sz val="12"/>
        <color rgb="FF383A37"/>
        <rFont val="Georgia"/>
        <family val="1"/>
      </rPr>
      <t>72 - 85</t>
    </r>
  </si>
  <si>
    <r>
      <t>Carbonation (Visual)</t>
    </r>
    <r>
      <rPr>
        <sz val="12"/>
        <color rgb="FF383A37"/>
        <rFont val="Georgia"/>
        <family val="1"/>
      </rPr>
      <t>Slow to Fast Rising Bubbles</t>
    </r>
  </si>
  <si>
    <r>
      <t>Color</t>
    </r>
    <r>
      <rPr>
        <sz val="12"/>
        <color rgb="FF383A37"/>
        <rFont val="Georgia"/>
        <family val="1"/>
      </rPr>
      <t>Dark Brown (may have red tint) to Very Dark</t>
    </r>
  </si>
  <si>
    <r>
      <t>Cheese</t>
    </r>
    <r>
      <rPr>
        <sz val="12"/>
        <color rgb="FF383A37"/>
        <rFont val="Georgia"/>
        <family val="1"/>
      </rPr>
      <t>Gruyere</t>
    </r>
  </si>
  <si>
    <r>
      <t>Dessert</t>
    </r>
    <r>
      <rPr>
        <sz val="12"/>
        <color rgb="FF383A37"/>
        <rFont val="Georgia"/>
        <family val="1"/>
      </rPr>
      <t>Chocolate Peanut Butter Cookies</t>
    </r>
  </si>
  <si>
    <r>
      <t>Hop Aroma/Flavor</t>
    </r>
    <r>
      <rPr>
        <sz val="12"/>
        <color rgb="FF383A37"/>
        <rFont val="Georgia"/>
        <family val="1"/>
      </rPr>
      <t>Hop aroma and flavor are not perceived to medium. Hop bitterness is medium</t>
    </r>
  </si>
  <si>
    <r>
      <t>Common Hop Ingredients</t>
    </r>
    <r>
      <rPr>
        <sz val="12"/>
        <color rgb="FF383A37"/>
        <rFont val="Georgia"/>
        <family val="1"/>
      </rPr>
      <t>Fuggles</t>
    </r>
  </si>
  <si>
    <r>
      <t>Malt Aroma/Flavor</t>
    </r>
    <r>
      <rPr>
        <sz val="12"/>
        <color rgb="FF383A37"/>
        <rFont val="Georgia"/>
        <family val="1"/>
      </rPr>
      <t>Nutty, Chocolate, Caramel, Bready, Toffee</t>
    </r>
  </si>
  <si>
    <r>
      <t>Common Malt Ingredients</t>
    </r>
    <r>
      <rPr>
        <sz val="12"/>
        <color rgb="FF383A37"/>
        <rFont val="Georgia"/>
        <family val="1"/>
      </rPr>
      <t>British Pale Ale, Brown, Crystal, Chocolate</t>
    </r>
  </si>
  <si>
    <r>
      <t>Other ingredients</t>
    </r>
    <r>
      <rPr>
        <sz val="12"/>
        <color rgb="FF383A37"/>
        <rFont val="Georgia"/>
        <family val="1"/>
      </rPr>
      <t>May contain additional sugar sources</t>
    </r>
  </si>
  <si>
    <r>
      <t>Palate Carbonation</t>
    </r>
    <r>
      <rPr>
        <sz val="12"/>
        <color rgb="FF383A37"/>
        <rFont val="Georgia"/>
        <family val="1"/>
      </rPr>
      <t>Low to High</t>
    </r>
  </si>
  <si>
    <r>
      <t>Esters</t>
    </r>
    <r>
      <rPr>
        <sz val="12"/>
        <color rgb="FF383A37"/>
        <rFont val="Georgia"/>
        <family val="1"/>
      </rPr>
      <t>Fruity esters may be present</t>
    </r>
  </si>
  <si>
    <r>
      <t>OG</t>
    </r>
    <r>
      <rPr>
        <sz val="12"/>
        <color rgb="FF383A37"/>
        <rFont val="Georgia"/>
        <family val="1"/>
      </rPr>
      <t>1.045 - 1.060</t>
    </r>
  </si>
  <si>
    <r>
      <t>ABV</t>
    </r>
    <r>
      <rPr>
        <sz val="12"/>
        <color rgb="FF383A37"/>
        <rFont val="Georgia"/>
        <family val="1"/>
      </rPr>
      <t>5.1% - 6.6%</t>
    </r>
  </si>
  <si>
    <r>
      <t>IBU</t>
    </r>
    <r>
      <rPr>
        <sz val="12"/>
        <color rgb="FF383A37"/>
        <rFont val="Georgia"/>
        <family val="1"/>
      </rPr>
      <t>25 - 40</t>
    </r>
  </si>
  <si>
    <r>
      <t>BU:GU</t>
    </r>
    <r>
      <rPr>
        <sz val="12"/>
        <color rgb="FF383A37"/>
        <rFont val="Georgia"/>
        <family val="1"/>
      </rPr>
      <t>0.56 - 0.67</t>
    </r>
  </si>
  <si>
    <r>
      <t>SRM</t>
    </r>
    <r>
      <rPr>
        <sz val="12"/>
        <color rgb="FF383A37"/>
        <rFont val="Georgia"/>
        <family val="1"/>
      </rPr>
      <t>30+</t>
    </r>
  </si>
  <si>
    <r>
      <t>Color</t>
    </r>
    <r>
      <rPr>
        <sz val="12"/>
        <color rgb="FF383A37"/>
        <rFont val="Georgia"/>
        <family val="1"/>
      </rPr>
      <t>Very Dark to Black</t>
    </r>
  </si>
  <si>
    <r>
      <t>Hop Aroma/Flavor</t>
    </r>
    <r>
      <rPr>
        <sz val="12"/>
        <color rgb="FF383A37"/>
        <rFont val="Georgia"/>
        <family val="1"/>
      </rPr>
      <t>Hop aroma and flavor are very low to medium. Hop bitterness is medium to high</t>
    </r>
  </si>
  <si>
    <r>
      <t>Common Hop Ingredients</t>
    </r>
    <r>
      <rPr>
        <sz val="12"/>
        <color rgb="FF383A37"/>
        <rFont val="Georgia"/>
        <family val="1"/>
      </rPr>
      <t>Kent Goldings, Fuggles</t>
    </r>
  </si>
  <si>
    <r>
      <t>Malt Aroma/Flavor</t>
    </r>
    <r>
      <rPr>
        <sz val="12"/>
        <color rgb="FF383A37"/>
        <rFont val="Georgia"/>
        <family val="1"/>
      </rPr>
      <t>Grainy, Bready, Toffee, Caramel, Chocolate, Coffee. Caramel and other malty sweetness is in harmony with the sharp bitterness of black malt, without a highly burnt/charcoal flavor</t>
    </r>
  </si>
  <si>
    <r>
      <t>Common Malt Ingredients</t>
    </r>
    <r>
      <rPr>
        <sz val="12"/>
        <color rgb="FF383A37"/>
        <rFont val="Georgia"/>
        <family val="1"/>
      </rPr>
      <t>Munich, Crystal, Chocolate, Black Patent</t>
    </r>
  </si>
  <si>
    <r>
      <t>Other ingredients</t>
    </r>
    <r>
      <rPr>
        <sz val="12"/>
        <color rgb="FF383A37"/>
        <rFont val="Georgia"/>
        <family val="1"/>
      </rPr>
      <t>May contain roasted barley</t>
    </r>
  </si>
  <si>
    <r>
      <t>Esters</t>
    </r>
    <r>
      <rPr>
        <sz val="12"/>
        <color rgb="FF383A37"/>
        <rFont val="Georgia"/>
        <family val="1"/>
      </rPr>
      <t>Fruity esters should be evident, balanced with all other characters</t>
    </r>
  </si>
  <si>
    <r>
      <t>Fermentation Byproducts</t>
    </r>
    <r>
      <rPr>
        <sz val="12"/>
        <color rgb="FF383A37"/>
        <rFont val="Georgia"/>
        <family val="1"/>
      </rPr>
      <t>Diacetyl is acceptable at very low levels</t>
    </r>
  </si>
  <si>
    <r>
      <t>OG</t>
    </r>
    <r>
      <rPr>
        <sz val="12"/>
        <color rgb="FF383A37"/>
        <rFont val="Georgia"/>
        <family val="1"/>
      </rPr>
      <t>1.050 - 1.065</t>
    </r>
  </si>
  <si>
    <r>
      <t>ABV</t>
    </r>
    <r>
      <rPr>
        <sz val="12"/>
        <color rgb="FF383A37"/>
        <rFont val="Georgia"/>
        <family val="1"/>
      </rPr>
      <t>5.1% - 8.9%</t>
    </r>
  </si>
  <si>
    <r>
      <t>BU:GU</t>
    </r>
    <r>
      <rPr>
        <sz val="12"/>
        <color rgb="FF383A37"/>
        <rFont val="Georgia"/>
        <family val="1"/>
      </rPr>
      <t>0.40 - 0.62</t>
    </r>
  </si>
  <si>
    <r>
      <t>SRM</t>
    </r>
    <r>
      <rPr>
        <sz val="12"/>
        <color rgb="FF383A37"/>
        <rFont val="Georgia"/>
        <family val="1"/>
      </rPr>
      <t>20+</t>
    </r>
  </si>
  <si>
    <r>
      <t>CO2 Volumes</t>
    </r>
    <r>
      <rPr>
        <sz val="12"/>
        <color rgb="FF383A37"/>
        <rFont val="Georgia"/>
        <family val="1"/>
      </rPr>
      <t>Varies</t>
    </r>
  </si>
  <si>
    <r>
      <t>Alcohol</t>
    </r>
    <r>
      <rPr>
        <sz val="12"/>
        <color rgb="FF383A37"/>
        <rFont val="Georgia"/>
        <family val="1"/>
      </rPr>
      <t>Varies</t>
    </r>
  </si>
  <si>
    <r>
      <t>Carbonation (Visual)</t>
    </r>
    <r>
      <rPr>
        <sz val="12"/>
        <color rgb="FF383A37"/>
        <rFont val="Georgia"/>
        <family val="1"/>
      </rPr>
      <t>Varies</t>
    </r>
  </si>
  <si>
    <r>
      <t>Clarity</t>
    </r>
    <r>
      <rPr>
        <sz val="12"/>
        <color rgb="FF383A37"/>
        <rFont val="Georgia"/>
        <family val="1"/>
      </rPr>
      <t>Varies</t>
    </r>
  </si>
  <si>
    <r>
      <t>Brewing/Conditioning Process</t>
    </r>
    <r>
      <rPr>
        <sz val="12"/>
        <color rgb="FF383A37"/>
        <rFont val="Georgia"/>
        <family val="1"/>
      </rPr>
      <t>Use of smoked malts is common</t>
    </r>
  </si>
  <si>
    <r>
      <t>Color</t>
    </r>
    <r>
      <rPr>
        <sz val="12"/>
        <color rgb="FF383A37"/>
        <rFont val="Georgia"/>
        <family val="1"/>
      </rPr>
      <t>Dark Brown to Black</t>
    </r>
  </si>
  <si>
    <r>
      <t>Country of Origin</t>
    </r>
    <r>
      <rPr>
        <sz val="12"/>
        <color rgb="FF383A37"/>
        <rFont val="Georgia"/>
        <family val="1"/>
      </rPr>
      <t>Undetermined</t>
    </r>
  </si>
  <si>
    <r>
      <t>Cheese</t>
    </r>
    <r>
      <rPr>
        <sz val="12"/>
        <color rgb="FF383A37"/>
        <rFont val="Georgia"/>
        <family val="1"/>
      </rPr>
      <t>Red Dragon Cheddar</t>
    </r>
  </si>
  <si>
    <r>
      <t>Entrée</t>
    </r>
    <r>
      <rPr>
        <sz val="12"/>
        <color rgb="FF383A37"/>
        <rFont val="Georgia"/>
        <family val="1"/>
      </rPr>
      <t>Grilled Sausage</t>
    </r>
  </si>
  <si>
    <r>
      <t>Dessert</t>
    </r>
    <r>
      <rPr>
        <sz val="12"/>
        <color rgb="FF383A37"/>
        <rFont val="Georgia"/>
        <family val="1"/>
      </rPr>
      <t>S'mores</t>
    </r>
  </si>
  <si>
    <r>
      <t>Hop Aroma/Flavor</t>
    </r>
    <r>
      <rPr>
        <sz val="12"/>
        <color rgb="FF383A37"/>
        <rFont val="Georgia"/>
        <family val="1"/>
      </rPr>
      <t>Hop aroma and flavor are not perceived to medium. Hop bitterness is medium to medium-high</t>
    </r>
  </si>
  <si>
    <r>
      <t>Common Hop Ingredients</t>
    </r>
    <r>
      <rPr>
        <sz val="12"/>
        <color rgb="FF383A37"/>
        <rFont val="Georgia"/>
        <family val="1"/>
      </rPr>
      <t>Kent Goldings, Willamette</t>
    </r>
  </si>
  <si>
    <r>
      <t>Malt Aroma/Flavor</t>
    </r>
    <r>
      <rPr>
        <sz val="12"/>
        <color rgb="FF383A37"/>
        <rFont val="Georgia"/>
        <family val="1"/>
      </rPr>
      <t>Black malt character can be perceived in some porters, while others may be absent of strong roasted character. Medium to high malt sweetness, caramel and chocolate are acceptable</t>
    </r>
  </si>
  <si>
    <r>
      <t>Common Malt Ingredients</t>
    </r>
    <r>
      <rPr>
        <sz val="12"/>
        <color rgb="FF383A37"/>
        <rFont val="Georgia"/>
        <family val="1"/>
      </rPr>
      <t>Crystal, Chocolate, Black Patent</t>
    </r>
  </si>
  <si>
    <r>
      <t>Other ingredients</t>
    </r>
    <r>
      <rPr>
        <sz val="12"/>
        <color rgb="FF383A37"/>
        <rFont val="Georgia"/>
        <family val="1"/>
      </rPr>
      <t>Common woods used by U.S. craft brewers to smoke a variety of malts: Apple, Alder, Beech, Cherry, Hickory, Mesquite, Oak</t>
    </r>
  </si>
  <si>
    <r>
      <t>Esters</t>
    </r>
    <r>
      <rPr>
        <sz val="12"/>
        <color rgb="FF383A37"/>
        <rFont val="Georgia"/>
        <family val="1"/>
      </rPr>
      <t>Fruity-ester aroma is acceptable. A mild to assertive smoke malt aroma will be in balance with other aroma characters</t>
    </r>
  </si>
  <si>
    <r>
      <t>IBU</t>
    </r>
    <r>
      <rPr>
        <sz val="12"/>
        <color rgb="FF383A37"/>
        <rFont val="Georgia"/>
        <family val="1"/>
      </rPr>
      <t>50 - 80</t>
    </r>
  </si>
  <si>
    <r>
      <t>BU:GU</t>
    </r>
    <r>
      <rPr>
        <sz val="12"/>
        <color rgb="FF383A37"/>
        <rFont val="Georgia"/>
        <family val="1"/>
      </rPr>
      <t>0.62 - 0.80</t>
    </r>
  </si>
  <si>
    <r>
      <t>Cheese</t>
    </r>
    <r>
      <rPr>
        <sz val="12"/>
        <color rgb="FF383A37"/>
        <rFont val="Georgia"/>
        <family val="1"/>
      </rPr>
      <t>Aged Cheeses</t>
    </r>
  </si>
  <si>
    <r>
      <t>Entrée</t>
    </r>
    <r>
      <rPr>
        <sz val="12"/>
        <color rgb="FF383A37"/>
        <rFont val="Georgia"/>
        <family val="1"/>
      </rPr>
      <t>Foie Gras</t>
    </r>
  </si>
  <si>
    <r>
      <t>Dessert</t>
    </r>
    <r>
      <rPr>
        <sz val="12"/>
        <color rgb="FF383A37"/>
        <rFont val="Georgia"/>
        <family val="1"/>
      </rPr>
      <t>Flour-less Chocolate Cake</t>
    </r>
  </si>
  <si>
    <r>
      <t>Hop Aroma/Flavor</t>
    </r>
    <r>
      <rPr>
        <sz val="12"/>
        <color rgb="FF383A37"/>
        <rFont val="Georgia"/>
        <family val="1"/>
      </rPr>
      <t>Hop aroma and flavor are medium-high to high, with floral, citrus and/or herbal hop aromas. Hop bitterness is medium-high to very high and balanced with the malt character</t>
    </r>
  </si>
  <si>
    <r>
      <t>Common Hop Ingredients</t>
    </r>
    <r>
      <rPr>
        <sz val="12"/>
        <color rgb="FF383A37"/>
        <rFont val="Georgia"/>
        <family val="1"/>
      </rPr>
      <t>Horizon, Kent Goldings</t>
    </r>
  </si>
  <si>
    <r>
      <t>Malt Aroma/Flavor</t>
    </r>
    <r>
      <rPr>
        <sz val="12"/>
        <color rgb="FF383A37"/>
        <rFont val="Georgia"/>
        <family val="1"/>
      </rPr>
      <t>Bittersweet Chocolate, Cocoa, Coffee</t>
    </r>
  </si>
  <si>
    <r>
      <t>Common Malt Ingredients</t>
    </r>
    <r>
      <rPr>
        <sz val="12"/>
        <color rgb="FF383A37"/>
        <rFont val="Georgia"/>
        <family val="1"/>
      </rPr>
      <t>Pale, Black Roasted Barley, Special "B", CaraMunich, Chocolate, Pale Chocolate</t>
    </r>
  </si>
  <si>
    <r>
      <t>Esters</t>
    </r>
    <r>
      <rPr>
        <sz val="12"/>
        <color rgb="FF383A37"/>
        <rFont val="Georgia"/>
        <family val="1"/>
      </rPr>
      <t>Fruity esters are generally high</t>
    </r>
  </si>
  <si>
    <r>
      <t>OG</t>
    </r>
    <r>
      <rPr>
        <sz val="12"/>
        <color rgb="FF383A37"/>
        <rFont val="Georgia"/>
        <family val="1"/>
      </rPr>
      <t>1.050 - 1.075</t>
    </r>
  </si>
  <si>
    <r>
      <t>FG</t>
    </r>
    <r>
      <rPr>
        <sz val="12"/>
        <color rgb="FF383A37"/>
        <rFont val="Georgia"/>
        <family val="1"/>
      </rPr>
      <t>1.010 - 1.022</t>
    </r>
  </si>
  <si>
    <r>
      <t>ABV</t>
    </r>
    <r>
      <rPr>
        <sz val="12"/>
        <color rgb="FF383A37"/>
        <rFont val="Georgia"/>
        <family val="1"/>
      </rPr>
      <t>5.7% - 8.9%</t>
    </r>
  </si>
  <si>
    <r>
      <t>IBU</t>
    </r>
    <r>
      <rPr>
        <sz val="12"/>
        <color rgb="FF383A37"/>
        <rFont val="Georgia"/>
        <family val="1"/>
      </rPr>
      <t>35 - 60</t>
    </r>
  </si>
  <si>
    <r>
      <t>BU:GU</t>
    </r>
    <r>
      <rPr>
        <sz val="12"/>
        <color rgb="FF383A37"/>
        <rFont val="Georgia"/>
        <family val="1"/>
      </rPr>
      <t>0.70 - 0.80</t>
    </r>
  </si>
  <si>
    <r>
      <t>Brewing/Conditioning Process</t>
    </r>
    <r>
      <rPr>
        <sz val="12"/>
        <color rgb="FF383A37"/>
        <rFont val="Georgia"/>
        <family val="1"/>
      </rPr>
      <t>Additional ingredients such as coffee, chocolate, vanilla beans, cherries are common, as is oak aging</t>
    </r>
  </si>
  <si>
    <r>
      <t>Cheese</t>
    </r>
    <r>
      <rPr>
        <sz val="12"/>
        <color rgb="FF383A37"/>
        <rFont val="Georgia"/>
        <family val="1"/>
      </rPr>
      <t>Sharp Cheddar</t>
    </r>
  </si>
  <si>
    <r>
      <t>Entrée</t>
    </r>
    <r>
      <rPr>
        <sz val="12"/>
        <color rgb="FF383A37"/>
        <rFont val="Georgia"/>
        <family val="1"/>
      </rPr>
      <t>Grilled Lamb</t>
    </r>
  </si>
  <si>
    <r>
      <t>Dessert</t>
    </r>
    <r>
      <rPr>
        <sz val="12"/>
        <color rgb="FF383A37"/>
        <rFont val="Georgia"/>
        <family val="1"/>
      </rPr>
      <t>Coffee Cake</t>
    </r>
  </si>
  <si>
    <r>
      <t>Hop Aroma/Flavor</t>
    </r>
    <r>
      <rPr>
        <sz val="12"/>
        <color rgb="FF383A37"/>
        <rFont val="Georgia"/>
        <family val="1"/>
      </rPr>
      <t>Hop aroma and flavor are medium to high, often with American citrus-type and/or resiny hop aromas. Hop bitterness is medium to high</t>
    </r>
  </si>
  <si>
    <r>
      <t>Common Hop Ingredients</t>
    </r>
    <r>
      <rPr>
        <sz val="12"/>
        <color rgb="FF383A37"/>
        <rFont val="Georgia"/>
        <family val="1"/>
      </rPr>
      <t>Horizon, Centennial</t>
    </r>
  </si>
  <si>
    <r>
      <t>Malt Aroma/Flavor</t>
    </r>
    <r>
      <rPr>
        <sz val="12"/>
        <color rgb="FF383A37"/>
        <rFont val="Georgia"/>
        <family val="1"/>
      </rPr>
      <t>Low to medium malt sweetness with low to medium caramel, chocolate, and/or roasted coffee flavor is present, with a distinctive dry-roasted bitterness in the finish. The contribution of roasted barley and roasted malt to astringency is low and not excessive. Slight roasted malt acidity is acceptable</t>
    </r>
  </si>
  <si>
    <r>
      <t>Common Malt Ingredients</t>
    </r>
    <r>
      <rPr>
        <sz val="12"/>
        <color rgb="FF383A37"/>
        <rFont val="Georgia"/>
        <family val="1"/>
      </rPr>
      <t>Pale, Black Roasted Barley, Chocolate, Crystal</t>
    </r>
  </si>
  <si>
    <r>
      <t>Other ingredients</t>
    </r>
    <r>
      <rPr>
        <sz val="12"/>
        <color rgb="FF383A37"/>
        <rFont val="Georgia"/>
        <family val="1"/>
      </rPr>
      <t>Oats (occasionally)</t>
    </r>
  </si>
  <si>
    <r>
      <t>Esters</t>
    </r>
    <r>
      <rPr>
        <sz val="12"/>
        <color rgb="FF383A37"/>
        <rFont val="Georgia"/>
        <family val="1"/>
      </rPr>
      <t>Fruity-esters flavors are low, if present</t>
    </r>
  </si>
  <si>
    <r>
      <t>OG</t>
    </r>
    <r>
      <rPr>
        <sz val="12"/>
        <color rgb="FF383A37"/>
        <rFont val="Georgia"/>
        <family val="1"/>
      </rPr>
      <t>1.038 - 1.056</t>
    </r>
  </si>
  <si>
    <r>
      <t>FG</t>
    </r>
    <r>
      <rPr>
        <sz val="12"/>
        <color rgb="FF383A37"/>
        <rFont val="Georgia"/>
        <family val="1"/>
      </rPr>
      <t>1.008 - 1.020</t>
    </r>
  </si>
  <si>
    <r>
      <t>ABV</t>
    </r>
    <r>
      <rPr>
        <sz val="12"/>
        <color rgb="FF383A37"/>
        <rFont val="Georgia"/>
        <family val="1"/>
      </rPr>
      <t>3.8% - 6.1%</t>
    </r>
  </si>
  <si>
    <r>
      <t>BU:GU</t>
    </r>
    <r>
      <rPr>
        <sz val="12"/>
        <color rgb="FF383A37"/>
        <rFont val="Georgia"/>
        <family val="1"/>
      </rPr>
      <t>0.53 - 0.71</t>
    </r>
  </si>
  <si>
    <r>
      <t>Apparent Attenuation</t>
    </r>
    <r>
      <rPr>
        <sz val="12"/>
        <color rgb="FF383A37"/>
        <rFont val="Georgia"/>
        <family val="1"/>
      </rPr>
      <t>64 - 79</t>
    </r>
  </si>
  <si>
    <r>
      <t>Entrée</t>
    </r>
    <r>
      <rPr>
        <sz val="12"/>
        <color rgb="FF383A37"/>
        <rFont val="Georgia"/>
        <family val="1"/>
      </rPr>
      <t>Chicken in Mole Sauce</t>
    </r>
  </si>
  <si>
    <r>
      <t>Dessert</t>
    </r>
    <r>
      <rPr>
        <sz val="12"/>
        <color rgb="FF383A37"/>
        <rFont val="Georgia"/>
        <family val="1"/>
      </rPr>
      <t>Sweet Potato Cheesecake</t>
    </r>
  </si>
  <si>
    <r>
      <t>Hop Aroma/Flavor</t>
    </r>
    <r>
      <rPr>
        <sz val="12"/>
        <color rgb="FF383A37"/>
        <rFont val="Georgia"/>
        <family val="1"/>
      </rPr>
      <t>Hop aroma and flavor are optional, but should not overpower the overall balance if present. Hop bitterness is medium</t>
    </r>
  </si>
  <si>
    <r>
      <t>Malt Aroma/Flavor</t>
    </r>
    <r>
      <rPr>
        <sz val="12"/>
        <color rgb="FF383A37"/>
        <rFont val="Georgia"/>
        <family val="1"/>
      </rPr>
      <t>Coffee-like roasted barley and roasted malt aromas are prominent. Caramel-like and chocolate-like roasted malt aroma should be evident</t>
    </r>
  </si>
  <si>
    <r>
      <t>Common Malt Ingredients</t>
    </r>
    <r>
      <rPr>
        <sz val="12"/>
        <color rgb="FF383A37"/>
        <rFont val="Georgia"/>
        <family val="1"/>
      </rPr>
      <t>Pale, Flaked Oats, Chocolate, Victory, Crystal, Black Roasted Barley</t>
    </r>
  </si>
  <si>
    <r>
      <t>Other ingredients</t>
    </r>
    <r>
      <rPr>
        <sz val="12"/>
        <color rgb="FF383A37"/>
        <rFont val="Georgia"/>
        <family val="1"/>
      </rPr>
      <t>Oats</t>
    </r>
  </si>
  <si>
    <r>
      <t>Esters</t>
    </r>
    <r>
      <rPr>
        <sz val="12"/>
        <color rgb="FF383A37"/>
        <rFont val="Georgia"/>
        <family val="1"/>
      </rPr>
      <t>Fruity ester flavors are very low</t>
    </r>
  </si>
  <si>
    <r>
      <t>Fermentation Byproducts</t>
    </r>
    <r>
      <rPr>
        <sz val="12"/>
        <color rgb="FF383A37"/>
        <rFont val="Georgia"/>
        <family val="1"/>
      </rPr>
      <t>Diacetyl should be absent or at extremely low levels</t>
    </r>
  </si>
  <si>
    <r>
      <t>ABV</t>
    </r>
    <r>
      <rPr>
        <sz val="12"/>
        <color rgb="FF383A37"/>
        <rFont val="Georgia"/>
        <family val="1"/>
      </rPr>
      <t>3.2% - 6.3%</t>
    </r>
  </si>
  <si>
    <r>
      <t>Apparent Attenuation</t>
    </r>
    <r>
      <rPr>
        <sz val="12"/>
        <color rgb="FF383A37"/>
        <rFont val="Georgia"/>
        <family val="1"/>
      </rPr>
      <t>64 - 73</t>
    </r>
  </si>
  <si>
    <r>
      <t>Cheese</t>
    </r>
    <r>
      <rPr>
        <sz val="12"/>
        <color rgb="FF383A37"/>
        <rFont val="Georgia"/>
        <family val="1"/>
      </rPr>
      <t>Buttery Cheddar</t>
    </r>
  </si>
  <si>
    <r>
      <t>Entrée</t>
    </r>
    <r>
      <rPr>
        <sz val="12"/>
        <color rgb="FF383A37"/>
        <rFont val="Georgia"/>
        <family val="1"/>
      </rPr>
      <t>Mexican Mole, Spicy BBQ</t>
    </r>
  </si>
  <si>
    <r>
      <t>Dessert</t>
    </r>
    <r>
      <rPr>
        <sz val="12"/>
        <color rgb="FF383A37"/>
        <rFont val="Georgia"/>
        <family val="1"/>
      </rPr>
      <t>Chocolate Cake, Ice Cream</t>
    </r>
  </si>
  <si>
    <r>
      <t>Hop Aroma/Flavor</t>
    </r>
    <r>
      <rPr>
        <sz val="12"/>
        <color rgb="FF383A37"/>
        <rFont val="Georgia"/>
        <family val="1"/>
      </rPr>
      <t>Hop aroma and flavor are not perceived. Hop bitterness is low to medium-low and serves to balance and suppress some of the sweetness without contributing apparent flavor nor aroma</t>
    </r>
  </si>
  <si>
    <r>
      <t>Malt Aroma/Flavor</t>
    </r>
    <r>
      <rPr>
        <sz val="12"/>
        <color rgb="FF383A37"/>
        <rFont val="Georgia"/>
        <family val="1"/>
      </rPr>
      <t>Malt sweetness, chocolate, and caramel should dominate the flavor profile. Malt bitterness is low to medium-low and derived from roasted malt or barley</t>
    </r>
  </si>
  <si>
    <r>
      <t>Common Malt Ingredients</t>
    </r>
    <r>
      <rPr>
        <sz val="12"/>
        <color rgb="FF383A37"/>
        <rFont val="Georgia"/>
        <family val="1"/>
      </rPr>
      <t>British Pale Ale, Black Patent, Pale Chocolate, Crystal</t>
    </r>
  </si>
  <si>
    <r>
      <t>Other ingredients</t>
    </r>
    <r>
      <rPr>
        <sz val="12"/>
        <color rgb="FF383A37"/>
        <rFont val="Georgia"/>
        <family val="1"/>
      </rPr>
      <t>Lactose</t>
    </r>
  </si>
  <si>
    <r>
      <t>Water Type</t>
    </r>
    <r>
      <rPr>
        <sz val="12"/>
        <color rgb="FF383A37"/>
        <rFont val="Georgia"/>
        <family val="1"/>
      </rPr>
      <t>High carbonate water</t>
    </r>
  </si>
  <si>
    <r>
      <t>Esters</t>
    </r>
    <r>
      <rPr>
        <sz val="12"/>
        <color rgb="FF383A37"/>
        <rFont val="Georgia"/>
        <family val="1"/>
      </rPr>
      <t>Fruity ester flavors are low, if present</t>
    </r>
  </si>
  <si>
    <r>
      <t>OG</t>
    </r>
    <r>
      <rPr>
        <sz val="12"/>
        <color rgb="FF383A37"/>
        <rFont val="Georgia"/>
        <family val="1"/>
      </rPr>
      <t>1.038 - 1.048</t>
    </r>
  </si>
  <si>
    <r>
      <t>FG</t>
    </r>
    <r>
      <rPr>
        <sz val="12"/>
        <color rgb="FF383A37"/>
        <rFont val="Georgia"/>
        <family val="1"/>
      </rPr>
      <t>1.008 - 1.012</t>
    </r>
  </si>
  <si>
    <r>
      <t>ABV</t>
    </r>
    <r>
      <rPr>
        <sz val="12"/>
        <color rgb="FF383A37"/>
        <rFont val="Georgia"/>
        <family val="1"/>
      </rPr>
      <t>4.2% - 5.3%</t>
    </r>
  </si>
  <si>
    <r>
      <t>IBU</t>
    </r>
    <r>
      <rPr>
        <sz val="12"/>
        <color rgb="FF383A37"/>
        <rFont val="Georgia"/>
        <family val="1"/>
      </rPr>
      <t>30 - 40</t>
    </r>
  </si>
  <si>
    <r>
      <t>BU:GU</t>
    </r>
    <r>
      <rPr>
        <sz val="12"/>
        <color rgb="FF383A37"/>
        <rFont val="Georgia"/>
        <family val="1"/>
      </rPr>
      <t>0.79 - 0.83</t>
    </r>
  </si>
  <si>
    <r>
      <t>Apparent Attenuation</t>
    </r>
    <r>
      <rPr>
        <sz val="12"/>
        <color rgb="FF383A37"/>
        <rFont val="Georgia"/>
        <family val="1"/>
      </rPr>
      <t>75 - 79</t>
    </r>
  </si>
  <si>
    <r>
      <t>Cheese</t>
    </r>
    <r>
      <rPr>
        <sz val="12"/>
        <color rgb="FF383A37"/>
        <rFont val="Georgia"/>
        <family val="1"/>
      </rPr>
      <t>Irish Cheddar</t>
    </r>
  </si>
  <si>
    <r>
      <t>Entrée</t>
    </r>
    <r>
      <rPr>
        <sz val="12"/>
        <color rgb="FF383A37"/>
        <rFont val="Georgia"/>
        <family val="1"/>
      </rPr>
      <t>Seafood (Oysters), Ham</t>
    </r>
  </si>
  <si>
    <r>
      <t>Dessert</t>
    </r>
    <r>
      <rPr>
        <sz val="12"/>
        <color rgb="FF383A37"/>
        <rFont val="Georgia"/>
        <family val="1"/>
      </rPr>
      <t>Chocolate Desserts</t>
    </r>
  </si>
  <si>
    <r>
      <t>Hop Aroma/Flavor</t>
    </r>
    <r>
      <rPr>
        <sz val="12"/>
        <color rgb="FF383A37"/>
        <rFont val="Georgia"/>
        <family val="1"/>
      </rPr>
      <t>Hop aroma and flavor are are not perceived to low, from European-type hops. Hop bitterness is medium to medium high</t>
    </r>
  </si>
  <si>
    <r>
      <t>Malt Aroma/Flavor</t>
    </r>
    <r>
      <rPr>
        <sz val="12"/>
        <color rgb="FF383A37"/>
        <rFont val="Georgia"/>
        <family val="1"/>
      </rPr>
      <t>Dry stouts achieve a dry-roasted character through the use of roasted barley. Initial malt and light caramel flavors give way to a distinctive dry-roasted bitterness in the finish. Emphasis of coffee-like roasted barley and a moderate degree of roasted malt flavors define much of the character</t>
    </r>
  </si>
  <si>
    <r>
      <t>Common Malt Ingredients</t>
    </r>
    <r>
      <rPr>
        <sz val="12"/>
        <color rgb="FF383A37"/>
        <rFont val="Georgia"/>
        <family val="1"/>
      </rPr>
      <t>British Pale Ale, Flaked Barley, Black Roasted Barley</t>
    </r>
  </si>
  <si>
    <r>
      <t>Esters</t>
    </r>
    <r>
      <rPr>
        <sz val="12"/>
        <color rgb="FF383A37"/>
        <rFont val="Georgia"/>
        <family val="1"/>
      </rPr>
      <t>Fruity esters are minimal and overshadowed by malt, high hop bitterness and roasted barley character</t>
    </r>
  </si>
  <si>
    <r>
      <t>OG</t>
    </r>
    <r>
      <rPr>
        <sz val="12"/>
        <color rgb="FF383A37"/>
        <rFont val="Georgia"/>
        <family val="1"/>
      </rPr>
      <t>1.066 - 1.074</t>
    </r>
  </si>
  <si>
    <r>
      <t>FG</t>
    </r>
    <r>
      <rPr>
        <sz val="12"/>
        <color rgb="FF383A37"/>
        <rFont val="Georgia"/>
        <family val="1"/>
      </rPr>
      <t>1.018 - 1.024</t>
    </r>
  </si>
  <si>
    <r>
      <t>BU:GU</t>
    </r>
    <r>
      <rPr>
        <sz val="12"/>
        <color rgb="FF383A37"/>
        <rFont val="Georgia"/>
        <family val="1"/>
      </rPr>
      <t>0.30 - 0.41</t>
    </r>
  </si>
  <si>
    <r>
      <t>SRM</t>
    </r>
    <r>
      <rPr>
        <sz val="12"/>
        <color rgb="FF383A37"/>
        <rFont val="Georgia"/>
        <family val="1"/>
      </rPr>
      <t>20 - 30</t>
    </r>
  </si>
  <si>
    <r>
      <t>Apparent Attenuation</t>
    </r>
    <r>
      <rPr>
        <sz val="12"/>
        <color rgb="FF383A37"/>
        <rFont val="Georgia"/>
        <family val="1"/>
      </rPr>
      <t>68 - 73</t>
    </r>
  </si>
  <si>
    <r>
      <t>Color</t>
    </r>
    <r>
      <rPr>
        <sz val="12"/>
        <color rgb="FF383A37"/>
        <rFont val="Georgia"/>
        <family val="1"/>
      </rPr>
      <t>Dark Brown to Very Dark</t>
    </r>
  </si>
  <si>
    <r>
      <t>Cheese</t>
    </r>
    <r>
      <rPr>
        <sz val="12"/>
        <color rgb="FF383A37"/>
        <rFont val="Georgia"/>
        <family val="1"/>
      </rPr>
      <t>Aged Swiss</t>
    </r>
  </si>
  <si>
    <r>
      <t>Entrée</t>
    </r>
    <r>
      <rPr>
        <sz val="12"/>
        <color rgb="FF383A37"/>
        <rFont val="Georgia"/>
        <family val="1"/>
      </rPr>
      <t>Grilled Rib-Eye</t>
    </r>
  </si>
  <si>
    <r>
      <t>Dessert</t>
    </r>
    <r>
      <rPr>
        <sz val="12"/>
        <color rgb="FF383A37"/>
        <rFont val="Georgia"/>
        <family val="1"/>
      </rPr>
      <t>Chocolate</t>
    </r>
  </si>
  <si>
    <r>
      <t>Hop Aroma/Flavor</t>
    </r>
    <r>
      <rPr>
        <sz val="12"/>
        <color rgb="FF383A37"/>
        <rFont val="Georgia"/>
        <family val="1"/>
      </rPr>
      <t>Hop flavor is low. Hop bitterness is perceived as medium, increasing proportionately with starting gravity</t>
    </r>
  </si>
  <si>
    <r>
      <t>Malt Aroma/Flavor</t>
    </r>
    <r>
      <rPr>
        <sz val="12"/>
        <color rgb="FF383A37"/>
        <rFont val="Georgia"/>
        <family val="1"/>
      </rPr>
      <t>High malt character with aromas of toasted or nut-like malt, but not caramel</t>
    </r>
  </si>
  <si>
    <r>
      <t>Common Malt Ingredients</t>
    </r>
    <r>
      <rPr>
        <sz val="12"/>
        <color rgb="FF383A37"/>
        <rFont val="Georgia"/>
        <family val="1"/>
      </rPr>
      <t>Pilsner, Munich, CaraMunich, Meussdoerffer Rost, Melanoidin</t>
    </r>
  </si>
  <si>
    <r>
      <t>Esters</t>
    </r>
    <r>
      <rPr>
        <sz val="12"/>
        <color rgb="FF383A37"/>
        <rFont val="Georgia"/>
        <family val="1"/>
      </rPr>
      <t>Fruity-ester aromas should be minimal, if present</t>
    </r>
  </si>
  <si>
    <r>
      <t>OG</t>
    </r>
    <r>
      <rPr>
        <sz val="12"/>
        <color rgb="FF383A37"/>
        <rFont val="Georgia"/>
        <family val="1"/>
      </rPr>
      <t>1.074 - 1.080</t>
    </r>
  </si>
  <si>
    <r>
      <t>ABV</t>
    </r>
    <r>
      <rPr>
        <sz val="12"/>
        <color rgb="FF383A37"/>
        <rFont val="Georgia"/>
        <family val="1"/>
      </rPr>
      <t>6.6% - 7.9%</t>
    </r>
  </si>
  <si>
    <r>
      <t>IBU</t>
    </r>
    <r>
      <rPr>
        <sz val="12"/>
        <color rgb="FF383A37"/>
        <rFont val="Georgia"/>
        <family val="1"/>
      </rPr>
      <t>17 - 27</t>
    </r>
  </si>
  <si>
    <r>
      <t>Apparent Attenuation</t>
    </r>
    <r>
      <rPr>
        <sz val="12"/>
        <color rgb="FF383A37"/>
        <rFont val="Georgia"/>
        <family val="1"/>
      </rPr>
      <t>75 - 81</t>
    </r>
  </si>
  <si>
    <r>
      <t>Cheese</t>
    </r>
    <r>
      <rPr>
        <sz val="12"/>
        <color rgb="FF383A37"/>
        <rFont val="Georgia"/>
        <family val="1"/>
      </rPr>
      <t>Strong Cheeses</t>
    </r>
  </si>
  <si>
    <r>
      <t>Entrée</t>
    </r>
    <r>
      <rPr>
        <sz val="12"/>
        <color rgb="FF383A37"/>
        <rFont val="Georgia"/>
        <family val="1"/>
      </rPr>
      <t>Pork or Ham</t>
    </r>
  </si>
  <si>
    <r>
      <t>Dessert</t>
    </r>
    <r>
      <rPr>
        <sz val="12"/>
        <color rgb="FF383A37"/>
        <rFont val="Georgia"/>
        <family val="1"/>
      </rPr>
      <t>German Chocolate Cake</t>
    </r>
  </si>
  <si>
    <r>
      <t>Hop Aroma/Flavor</t>
    </r>
    <r>
      <rPr>
        <sz val="12"/>
        <color rgb="FF383A37"/>
        <rFont val="Georgia"/>
        <family val="1"/>
      </rPr>
      <t>Hop aroma should be absent. Hop flavor and bitterness are low</t>
    </r>
  </si>
  <si>
    <r>
      <t>Malt Aroma/Flavor</t>
    </r>
    <r>
      <rPr>
        <sz val="12"/>
        <color rgb="FF383A37"/>
        <rFont val="Georgia"/>
        <family val="1"/>
      </rPr>
      <t>Dominant aromas are reminiscent of fresh and lightly toasted Munich-style malt, more so than caramel or toffee. Some elements of caramel and toffee can be evident in aroma and contribute to complexity, but the predominant malt aroma is an expression of toasted barley</t>
    </r>
  </si>
  <si>
    <r>
      <t>Common Malt Ingredients</t>
    </r>
    <r>
      <rPr>
        <sz val="12"/>
        <color rgb="FF383A37"/>
        <rFont val="Georgia"/>
        <family val="1"/>
      </rPr>
      <t>Pilsner, Munich, Vienna, CaraMunich</t>
    </r>
  </si>
  <si>
    <r>
      <t>Esters</t>
    </r>
    <r>
      <rPr>
        <sz val="12"/>
        <color rgb="FF383A37"/>
        <rFont val="Georgia"/>
        <family val="1"/>
      </rPr>
      <t>Prune, Plum, Grape</t>
    </r>
  </si>
  <si>
    <r>
      <t>ABV</t>
    </r>
    <r>
      <rPr>
        <sz val="12"/>
        <color rgb="FF383A37"/>
        <rFont val="Georgia"/>
        <family val="1"/>
      </rPr>
      <t>6.3% - 8.1%</t>
    </r>
  </si>
  <si>
    <r>
      <t>BU:GU</t>
    </r>
    <r>
      <rPr>
        <sz val="12"/>
        <color rgb="FF383A37"/>
        <rFont val="Georgia"/>
        <family val="1"/>
      </rPr>
      <t>0.30 - 0.51</t>
    </r>
  </si>
  <si>
    <r>
      <t>Cheese</t>
    </r>
    <r>
      <rPr>
        <sz val="12"/>
        <color rgb="FF383A37"/>
        <rFont val="Georgia"/>
        <family val="1"/>
      </rPr>
      <t>Swiss</t>
    </r>
  </si>
  <si>
    <r>
      <t>Entrée</t>
    </r>
    <r>
      <rPr>
        <sz val="12"/>
        <color rgb="FF383A37"/>
        <rFont val="Georgia"/>
        <family val="1"/>
      </rPr>
      <t>Ham</t>
    </r>
  </si>
  <si>
    <r>
      <t>Dessert</t>
    </r>
    <r>
      <rPr>
        <sz val="12"/>
        <color rgb="FF383A37"/>
        <rFont val="Georgia"/>
        <family val="1"/>
      </rPr>
      <t>White Chocolate Cheesecake</t>
    </r>
  </si>
  <si>
    <r>
      <t>Hop Aroma/Flavor</t>
    </r>
    <r>
      <rPr>
        <sz val="12"/>
        <color rgb="FF383A37"/>
        <rFont val="Georgia"/>
        <family val="1"/>
      </rPr>
      <t>Hop aroma and flavor are low to medium low, deriving from noble-type hops. Hop bitterness is low</t>
    </r>
  </si>
  <si>
    <r>
      <t>Malt Aroma/Flavor</t>
    </r>
    <r>
      <rPr>
        <sz val="12"/>
        <color rgb="FF383A37"/>
        <rFont val="Georgia"/>
        <family val="1"/>
      </rPr>
      <t>A lightly toasted and/or bready malt aroma is often evident. Roasted or heavy toast/caramel malt aromas should be absent</t>
    </r>
  </si>
  <si>
    <r>
      <t>Common Malt Ingredients</t>
    </r>
    <r>
      <rPr>
        <sz val="12"/>
        <color rgb="FF383A37"/>
        <rFont val="Georgia"/>
        <family val="1"/>
      </rPr>
      <t>Pilsner, Munich, Vienna</t>
    </r>
  </si>
  <si>
    <r>
      <t>Esters</t>
    </r>
    <r>
      <rPr>
        <sz val="12"/>
        <color rgb="FF383A37"/>
        <rFont val="Georgia"/>
        <family val="1"/>
      </rPr>
      <t>Fruity-ester flavors may be low, if present</t>
    </r>
  </si>
  <si>
    <r>
      <t>OG</t>
    </r>
    <r>
      <rPr>
        <sz val="12"/>
        <color rgb="FF383A37"/>
        <rFont val="Georgia"/>
        <family val="1"/>
      </rPr>
      <t>1.066 - 1.080</t>
    </r>
  </si>
  <si>
    <r>
      <t>FG</t>
    </r>
    <r>
      <rPr>
        <sz val="12"/>
        <color rgb="FF383A37"/>
        <rFont val="Georgia"/>
        <family val="1"/>
      </rPr>
      <t>1.016 - 1.028</t>
    </r>
  </si>
  <si>
    <r>
      <t>ABV</t>
    </r>
    <r>
      <rPr>
        <sz val="12"/>
        <color rgb="FF383A37"/>
        <rFont val="Georgia"/>
        <family val="1"/>
      </rPr>
      <t>7.0% - 9.5%</t>
    </r>
  </si>
  <si>
    <r>
      <t>IBU</t>
    </r>
    <r>
      <rPr>
        <sz val="12"/>
        <color rgb="FF383A37"/>
        <rFont val="Georgia"/>
        <family val="1"/>
      </rPr>
      <t>15 - 35</t>
    </r>
  </si>
  <si>
    <r>
      <t>BU:GU</t>
    </r>
    <r>
      <rPr>
        <sz val="12"/>
        <color rgb="FF383A37"/>
        <rFont val="Georgia"/>
        <family val="1"/>
      </rPr>
      <t>0.23 - 0.44</t>
    </r>
  </si>
  <si>
    <r>
      <t>SRM</t>
    </r>
    <r>
      <rPr>
        <sz val="12"/>
        <color rgb="FF383A37"/>
        <rFont val="Georgia"/>
        <family val="1"/>
      </rPr>
      <t>4.5 - 30</t>
    </r>
  </si>
  <si>
    <r>
      <t>Apparent Attenuation</t>
    </r>
    <r>
      <rPr>
        <sz val="12"/>
        <color rgb="FF383A37"/>
        <rFont val="Georgia"/>
        <family val="1"/>
      </rPr>
      <t>65 - 76</t>
    </r>
  </si>
  <si>
    <r>
      <t>Brewing/Conditioning Process</t>
    </r>
    <r>
      <rPr>
        <sz val="12"/>
        <color rgb="FF383A37"/>
        <rFont val="Georgia"/>
        <family val="1"/>
      </rPr>
      <t>A decoction mash is commonly used. Unfiltered and yeasty</t>
    </r>
  </si>
  <si>
    <r>
      <t>Color</t>
    </r>
    <r>
      <rPr>
        <sz val="12"/>
        <color rgb="FF383A37"/>
        <rFont val="Georgia"/>
        <family val="1"/>
      </rPr>
      <t>Gold to Very Dark</t>
    </r>
  </si>
  <si>
    <r>
      <t>Cheese</t>
    </r>
    <r>
      <rPr>
        <sz val="12"/>
        <color rgb="FF383A37"/>
        <rFont val="Georgia"/>
        <family val="1"/>
      </rPr>
      <t>Manchego</t>
    </r>
  </si>
  <si>
    <r>
      <t>Entrée</t>
    </r>
    <r>
      <rPr>
        <sz val="12"/>
        <color rgb="FF383A37"/>
        <rFont val="Georgia"/>
        <family val="1"/>
      </rPr>
      <t>Chicken and Dumplings</t>
    </r>
  </si>
  <si>
    <r>
      <t>Dessert</t>
    </r>
    <r>
      <rPr>
        <sz val="12"/>
        <color rgb="FF383A37"/>
        <rFont val="Georgia"/>
        <family val="1"/>
      </rPr>
      <t>Banana Bread</t>
    </r>
  </si>
  <si>
    <r>
      <t>Hop Aroma/Flavor</t>
    </r>
    <r>
      <rPr>
        <sz val="12"/>
        <color rgb="FF383A37"/>
        <rFont val="Georgia"/>
        <family val="1"/>
      </rPr>
      <t>Hop aroma is not perceived. Hop bitterness is low</t>
    </r>
  </si>
  <si>
    <r>
      <t>Malt Aroma/Flavor</t>
    </r>
    <r>
      <rPr>
        <sz val="12"/>
        <color rgb="FF383A37"/>
        <rFont val="Georgia"/>
        <family val="1"/>
      </rPr>
      <t>Nutmeg, vanilla, caramel, plums, prunes, raisins, grapes and cocoa, with rum and brandy flavors to boot. Medium malty sweetness is present. If dark, a mild roasted malt aroma and flavor should emerge</t>
    </r>
  </si>
  <si>
    <r>
      <t>Common Malt Ingredients</t>
    </r>
    <r>
      <rPr>
        <sz val="12"/>
        <color rgb="FF383A37"/>
        <rFont val="Georgia"/>
        <family val="1"/>
      </rPr>
      <t>Malted Wheat, Munich, Special "B", Crystal, Pale Chocolate</t>
    </r>
  </si>
  <si>
    <r>
      <t>Esters</t>
    </r>
    <r>
      <rPr>
        <sz val="12"/>
        <color rgb="FF383A37"/>
        <rFont val="Georgia"/>
        <family val="1"/>
      </rPr>
      <t>Fruity-ester and banana-like elements</t>
    </r>
  </si>
  <si>
    <r>
      <t>Fermentation Byproducts</t>
    </r>
    <r>
      <rPr>
        <sz val="12"/>
        <color rgb="FF383A37"/>
        <rFont val="Georgia"/>
        <family val="1"/>
      </rPr>
      <t>If served with yeast, appearance may appropriately be very cloudy</t>
    </r>
  </si>
  <si>
    <r>
      <t>OG</t>
    </r>
    <r>
      <rPr>
        <sz val="12"/>
        <color rgb="FF383A37"/>
        <rFont val="Georgia"/>
        <family val="1"/>
      </rPr>
      <t>1.072 - 1.085</t>
    </r>
  </si>
  <si>
    <r>
      <t>ABV</t>
    </r>
    <r>
      <rPr>
        <sz val="12"/>
        <color rgb="FF383A37"/>
        <rFont val="Georgia"/>
        <family val="1"/>
      </rPr>
      <t>6.6% - 8.5%</t>
    </r>
  </si>
  <si>
    <r>
      <t>IBU</t>
    </r>
    <r>
      <rPr>
        <sz val="12"/>
        <color rgb="FF383A37"/>
        <rFont val="Georgia"/>
        <family val="1"/>
      </rPr>
      <t>25 - 35</t>
    </r>
  </si>
  <si>
    <r>
      <t>BU:GU</t>
    </r>
    <r>
      <rPr>
        <sz val="12"/>
        <color rgb="FF383A37"/>
        <rFont val="Georgia"/>
        <family val="1"/>
      </rPr>
      <t>0.35 - 0.41</t>
    </r>
  </si>
  <si>
    <r>
      <t>SRM</t>
    </r>
    <r>
      <rPr>
        <sz val="12"/>
        <color rgb="FF383A37"/>
        <rFont val="Georgia"/>
        <family val="1"/>
      </rPr>
      <t>15 - 30</t>
    </r>
  </si>
  <si>
    <r>
      <t>Apparent Attenuation</t>
    </r>
    <r>
      <rPr>
        <sz val="12"/>
        <color rgb="FF383A37"/>
        <rFont val="Georgia"/>
        <family val="1"/>
      </rPr>
      <t>67 - 78</t>
    </r>
  </si>
  <si>
    <r>
      <t>Brewing/Conditioning Process</t>
    </r>
    <r>
      <rPr>
        <sz val="12"/>
        <color rgb="FF383A37"/>
        <rFont val="Georgia"/>
        <family val="1"/>
      </rPr>
      <t>Traditionally, cooler ale fermentation temperatures were common</t>
    </r>
  </si>
  <si>
    <r>
      <t>Color</t>
    </r>
    <r>
      <rPr>
        <sz val="12"/>
        <color rgb="FF383A37"/>
        <rFont val="Georgia"/>
        <family val="1"/>
      </rPr>
      <t>Light Reddish Brown to Very Dark</t>
    </r>
  </si>
  <si>
    <r>
      <t>Country of Origin</t>
    </r>
    <r>
      <rPr>
        <sz val="12"/>
        <color rgb="FF383A37"/>
        <rFont val="Georgia"/>
        <family val="1"/>
      </rPr>
      <t>Scotland / United Kingdom</t>
    </r>
  </si>
  <si>
    <r>
      <t>Cheese</t>
    </r>
    <r>
      <rPr>
        <sz val="12"/>
        <color rgb="FF383A37"/>
        <rFont val="Georgia"/>
        <family val="1"/>
      </rPr>
      <t>Pungent Cheeses</t>
    </r>
  </si>
  <si>
    <r>
      <t>Entrée</t>
    </r>
    <r>
      <rPr>
        <sz val="12"/>
        <color rgb="FF383A37"/>
        <rFont val="Georgia"/>
        <family val="1"/>
      </rPr>
      <t>Variety of Meats and Game</t>
    </r>
  </si>
  <si>
    <r>
      <t>Dessert</t>
    </r>
    <r>
      <rPr>
        <sz val="12"/>
        <color rgb="FF383A37"/>
        <rFont val="Georgia"/>
        <family val="1"/>
      </rPr>
      <t>Creamy Desserts with Fruit</t>
    </r>
  </si>
  <si>
    <r>
      <t>Glass</t>
    </r>
    <r>
      <rPr>
        <sz val="12"/>
        <color rgb="FF383A37"/>
        <rFont val="Georgia"/>
        <family val="1"/>
      </rPr>
      <t>Thistle</t>
    </r>
  </si>
  <si>
    <r>
      <t>Hop Aroma/Flavor</t>
    </r>
    <r>
      <rPr>
        <sz val="12"/>
        <color rgb="FF383A37"/>
        <rFont val="Georgia"/>
        <family val="1"/>
      </rPr>
      <t>Hop aroma and flavor are not perceived. Hop bitterness is low but perceptible</t>
    </r>
  </si>
  <si>
    <r>
      <t>Malt Aroma/Flavor</t>
    </r>
    <r>
      <rPr>
        <sz val="12"/>
        <color rgb="FF383A37"/>
        <rFont val="Georgia"/>
        <family val="1"/>
      </rPr>
      <t>Dominated by a smooth, balanced sweet maltiness. Will also have a medium degree of malty, caramel-like aroma and flavor</t>
    </r>
  </si>
  <si>
    <r>
      <t>Common Malt Ingredients</t>
    </r>
    <r>
      <rPr>
        <sz val="12"/>
        <color rgb="FF383A37"/>
        <rFont val="Georgia"/>
        <family val="1"/>
      </rPr>
      <t>British Pale Ale, Crystal, Honey, Pale Chocolate, Munich and even Roasted Barley</t>
    </r>
  </si>
  <si>
    <r>
      <t>Water Type</t>
    </r>
    <r>
      <rPr>
        <sz val="12"/>
        <color rgb="FF383A37"/>
        <rFont val="Georgia"/>
        <family val="1"/>
      </rPr>
      <t>Soft Water (occasionally)</t>
    </r>
  </si>
  <si>
    <r>
      <t>Esters</t>
    </r>
    <r>
      <rPr>
        <sz val="12"/>
        <color rgb="FF383A37"/>
        <rFont val="Georgia"/>
        <family val="1"/>
      </rPr>
      <t>Plums, Raisin, Dried Fruit. A peaty/smoky character may be evident at low levels</t>
    </r>
  </si>
  <si>
    <r>
      <t>Fermentation Byproducts</t>
    </r>
    <r>
      <rPr>
        <sz val="12"/>
        <color rgb="FF383A37"/>
        <rFont val="Georgia"/>
        <family val="1"/>
      </rPr>
      <t>Yeast characters such as diacetyl and sulfur are acceptable at very low levels</t>
    </r>
  </si>
  <si>
    <r>
      <t>OG</t>
    </r>
    <r>
      <rPr>
        <sz val="12"/>
        <color rgb="FF383A37"/>
        <rFont val="Georgia"/>
        <family val="1"/>
      </rPr>
      <t>1.030 - 1.050</t>
    </r>
  </si>
  <si>
    <r>
      <t>FG</t>
    </r>
    <r>
      <rPr>
        <sz val="12"/>
        <color rgb="FF383A37"/>
        <rFont val="Georgia"/>
        <family val="1"/>
      </rPr>
      <t>1.006 - 1.018</t>
    </r>
  </si>
  <si>
    <r>
      <t>ABV</t>
    </r>
    <r>
      <rPr>
        <sz val="12"/>
        <color rgb="FF383A37"/>
        <rFont val="Georgia"/>
        <family val="1"/>
      </rPr>
      <t>2.8% - 5.3%</t>
    </r>
  </si>
  <si>
    <r>
      <t>IBU</t>
    </r>
    <r>
      <rPr>
        <sz val="12"/>
        <color rgb="FF383A37"/>
        <rFont val="Georgia"/>
        <family val="1"/>
      </rPr>
      <t>9 - 25</t>
    </r>
  </si>
  <si>
    <r>
      <t>BU:GU</t>
    </r>
    <r>
      <rPr>
        <sz val="12"/>
        <color rgb="FF383A37"/>
        <rFont val="Georgia"/>
        <family val="1"/>
      </rPr>
      <t>0.30 - 0.50</t>
    </r>
  </si>
  <si>
    <r>
      <t>SRM</t>
    </r>
    <r>
      <rPr>
        <sz val="12"/>
        <color rgb="FF383A37"/>
        <rFont val="Georgia"/>
        <family val="1"/>
      </rPr>
      <t>6 - 15</t>
    </r>
  </si>
  <si>
    <r>
      <t>Apparent Attenuation</t>
    </r>
    <r>
      <rPr>
        <sz val="12"/>
        <color rgb="FF383A37"/>
        <rFont val="Georgia"/>
        <family val="1"/>
      </rPr>
      <t>64 - 80</t>
    </r>
  </si>
  <si>
    <r>
      <t>Brewing/Conditioning Process</t>
    </r>
    <r>
      <rPr>
        <sz val="12"/>
        <color rgb="FF383A37"/>
        <rFont val="Georgia"/>
        <family val="1"/>
      </rPr>
      <t>High-temperature mash is common to emphasize a more dextrinous wort, lending bigger body and mouthfeel and decreasing fermentable sugars. Traditionally, cooler ale fermentation temperatures were common.</t>
    </r>
  </si>
  <si>
    <r>
      <t>Color</t>
    </r>
    <r>
      <rPr>
        <sz val="12"/>
        <color rgb="FF383A37"/>
        <rFont val="Georgia"/>
        <family val="1"/>
      </rPr>
      <t>Golden to Dark Chestnut or Brown</t>
    </r>
  </si>
  <si>
    <r>
      <t>Hop Aroma/Flavor</t>
    </r>
    <r>
      <rPr>
        <sz val="12"/>
        <color rgb="FF383A37"/>
        <rFont val="Georgia"/>
        <family val="1"/>
      </rPr>
      <t>Hop aroma and flavor are not perceived. Hop bitterness is low.</t>
    </r>
  </si>
  <si>
    <r>
      <t>Malt Aroma/Flavor</t>
    </r>
    <r>
      <rPr>
        <sz val="12"/>
        <color rgb="FF383A37"/>
        <rFont val="Georgia"/>
        <family val="1"/>
      </rPr>
      <t>Caramel, Toffee</t>
    </r>
  </si>
  <si>
    <r>
      <t>Other ingredients</t>
    </r>
    <r>
      <rPr>
        <sz val="12"/>
        <color rgb="FF383A37"/>
        <rFont val="Georgia"/>
        <family val="1"/>
      </rPr>
      <t>Wheat Malt, Sugar (occasionally)</t>
    </r>
  </si>
  <si>
    <r>
      <t>Phenols</t>
    </r>
    <r>
      <rPr>
        <sz val="12"/>
        <color rgb="FF383A37"/>
        <rFont val="Georgia"/>
        <family val="1"/>
      </rPr>
      <t>Peaty, Earthy, Smoky</t>
    </r>
  </si>
  <si>
    <r>
      <t>Fermentation Byproducts</t>
    </r>
    <r>
      <rPr>
        <sz val="12"/>
        <color rgb="FF383A37"/>
        <rFont val="Georgia"/>
        <family val="1"/>
      </rPr>
      <t>Diacetyl and sulfur are acceptable at very low levels.</t>
    </r>
  </si>
  <si>
    <r>
      <t>OG</t>
    </r>
    <r>
      <rPr>
        <sz val="12"/>
        <color rgb="FF383A37"/>
        <rFont val="Georgia"/>
        <family val="1"/>
      </rPr>
      <t>Varies</t>
    </r>
  </si>
  <si>
    <r>
      <t>FG</t>
    </r>
    <r>
      <rPr>
        <sz val="12"/>
        <color rgb="FF383A37"/>
        <rFont val="Georgia"/>
        <family val="1"/>
      </rPr>
      <t>Varies</t>
    </r>
  </si>
  <si>
    <r>
      <t>ABV</t>
    </r>
    <r>
      <rPr>
        <sz val="12"/>
        <color rgb="FF383A37"/>
        <rFont val="Georgia"/>
        <family val="1"/>
      </rPr>
      <t>Varies</t>
    </r>
  </si>
  <si>
    <r>
      <t>IBU</t>
    </r>
    <r>
      <rPr>
        <sz val="12"/>
        <color rgb="FF383A37"/>
        <rFont val="Georgia"/>
        <family val="1"/>
      </rPr>
      <t>Varies</t>
    </r>
  </si>
  <si>
    <r>
      <t>BU:GU</t>
    </r>
    <r>
      <rPr>
        <sz val="12"/>
        <color rgb="FF383A37"/>
        <rFont val="Georgia"/>
        <family val="1"/>
      </rPr>
      <t>Varies</t>
    </r>
  </si>
  <si>
    <r>
      <t>SRM</t>
    </r>
    <r>
      <rPr>
        <sz val="12"/>
        <color rgb="FF383A37"/>
        <rFont val="Georgia"/>
        <family val="1"/>
      </rPr>
      <t>Varies</t>
    </r>
  </si>
  <si>
    <r>
      <t>Apparent Attenuation</t>
    </r>
    <r>
      <rPr>
        <sz val="12"/>
        <color rgb="FF383A37"/>
        <rFont val="Georgia"/>
        <family val="1"/>
      </rPr>
      <t>Varies</t>
    </r>
  </si>
  <si>
    <r>
      <t>Brewing/Conditioning Process</t>
    </r>
    <r>
      <rPr>
        <sz val="12"/>
        <color rgb="FF383A37"/>
        <rFont val="Georgia"/>
        <family val="1"/>
      </rPr>
      <t>Wood vessels may be used during the fermentation and aging process. Blending is also common</t>
    </r>
  </si>
  <si>
    <r>
      <t>Color</t>
    </r>
    <r>
      <rPr>
        <sz val="12"/>
        <color rgb="FF383A37"/>
        <rFont val="Georgia"/>
        <family val="1"/>
      </rPr>
      <t>Varies</t>
    </r>
  </si>
  <si>
    <r>
      <t>Cheese</t>
    </r>
    <r>
      <rPr>
        <sz val="12"/>
        <color rgb="FF383A37"/>
        <rFont val="Georgia"/>
        <family val="1"/>
      </rPr>
      <t>Earthy Farmhouse Cheeses</t>
    </r>
  </si>
  <si>
    <r>
      <t>Entrée</t>
    </r>
    <r>
      <rPr>
        <sz val="12"/>
        <color rgb="FF383A37"/>
        <rFont val="Georgia"/>
        <family val="1"/>
      </rPr>
      <t>Grilled or Roasted Game</t>
    </r>
  </si>
  <si>
    <r>
      <t>Dessert</t>
    </r>
    <r>
      <rPr>
        <sz val="12"/>
        <color rgb="FF383A37"/>
        <rFont val="Georgia"/>
        <family val="1"/>
      </rPr>
      <t>Fruit-Filled Pastries</t>
    </r>
  </si>
  <si>
    <r>
      <t>Hop Aroma/Flavor</t>
    </r>
    <r>
      <rPr>
        <sz val="12"/>
        <color rgb="FF383A37"/>
        <rFont val="Georgia"/>
        <family val="1"/>
      </rPr>
      <t>Hop aroma, flavor and bitterness are evident over a full range from low to high</t>
    </r>
  </si>
  <si>
    <r>
      <t>Malt Aroma/Flavor</t>
    </r>
    <r>
      <rPr>
        <sz val="12"/>
        <color rgb="FF383A37"/>
        <rFont val="Georgia"/>
        <family val="1"/>
      </rPr>
      <t>Varies</t>
    </r>
  </si>
  <si>
    <r>
      <t>Other ingredients</t>
    </r>
    <r>
      <rPr>
        <sz val="12"/>
        <color rgb="FF383A37"/>
        <rFont val="Georgia"/>
        <family val="1"/>
      </rPr>
      <t>Fruit (occasionally)</t>
    </r>
  </si>
  <si>
    <r>
      <t>Type</t>
    </r>
    <r>
      <rPr>
        <sz val="12"/>
        <color rgb="FF383A37"/>
        <rFont val="Georgia"/>
        <family val="1"/>
      </rPr>
      <t>Brettanomyces, Ale/Lager possible</t>
    </r>
  </si>
  <si>
    <r>
      <t>Microorganisms</t>
    </r>
    <r>
      <rPr>
        <sz val="12"/>
        <color rgb="FF383A37"/>
        <rFont val="Georgia"/>
        <family val="1"/>
      </rPr>
      <t>Brettanomyces possible</t>
    </r>
  </si>
  <si>
    <r>
      <t>Brewing/Conditioning Process</t>
    </r>
    <r>
      <rPr>
        <sz val="12"/>
        <color rgb="FF383A37"/>
        <rFont val="Georgia"/>
        <family val="1"/>
      </rPr>
      <t>Wood vessels may be used during the fermentation and aging process, but wood-derived flavors such as vanillin must not be present</t>
    </r>
  </si>
  <si>
    <r>
      <t>Color</t>
    </r>
    <r>
      <rPr>
        <sz val="12"/>
        <color rgb="FF383A37"/>
        <rFont val="Georgia"/>
        <family val="1"/>
      </rPr>
      <t>Any range of color, and may take on the color of other ingredients such as various fruit.</t>
    </r>
  </si>
  <si>
    <r>
      <t>Cheese</t>
    </r>
    <r>
      <rPr>
        <sz val="12"/>
        <color rgb="FF383A37"/>
        <rFont val="Georgia"/>
        <family val="1"/>
      </rPr>
      <t>Strongly Flavored Cheeses</t>
    </r>
  </si>
  <si>
    <r>
      <t>Entrée</t>
    </r>
    <r>
      <rPr>
        <sz val="12"/>
        <color rgb="FF383A37"/>
        <rFont val="Georgia"/>
        <family val="1"/>
      </rPr>
      <t>Varies</t>
    </r>
  </si>
  <si>
    <r>
      <t>Malt Aroma/Flavor</t>
    </r>
    <r>
      <rPr>
        <sz val="12"/>
        <color rgb="FF383A37"/>
        <rFont val="Georgia"/>
        <family val="1"/>
      </rPr>
      <t>In darker versions, roasted malt, caramel-like and chocolate-like aromas are subtly present</t>
    </r>
  </si>
  <si>
    <r>
      <t>Phenols</t>
    </r>
    <r>
      <rPr>
        <sz val="12"/>
        <color rgb="FF383A37"/>
        <rFont val="Georgia"/>
        <family val="1"/>
      </rPr>
      <t>Can be present.</t>
    </r>
  </si>
  <si>
    <r>
      <t>Esters</t>
    </r>
    <r>
      <rPr>
        <sz val="12"/>
        <color rgb="FF383A37"/>
        <rFont val="Georgia"/>
        <family val="1"/>
      </rPr>
      <t>Moderate to intense, yet balanced, fruity ester aromas are evident</t>
    </r>
  </si>
  <si>
    <r>
      <t>Fermentation Byproducts</t>
    </r>
    <r>
      <rPr>
        <sz val="12"/>
        <color rgb="FF383A37"/>
        <rFont val="Georgia"/>
        <family val="1"/>
      </rPr>
      <t>Bacteria- and yeast-induced haze are acceptable at any temperature</t>
    </r>
  </si>
  <si>
    <r>
      <t>OG</t>
    </r>
    <r>
      <rPr>
        <sz val="12"/>
        <color rgb="FF383A37"/>
        <rFont val="Georgia"/>
        <family val="1"/>
      </rPr>
      <t>1.044 - 1.056</t>
    </r>
  </si>
  <si>
    <r>
      <t>ABV</t>
    </r>
    <r>
      <rPr>
        <sz val="12"/>
        <color rgb="FF383A37"/>
        <rFont val="Georgia"/>
        <family val="1"/>
      </rPr>
      <t>4.8% - 6.6%</t>
    </r>
  </si>
  <si>
    <r>
      <t>IBU</t>
    </r>
    <r>
      <rPr>
        <sz val="12"/>
        <color rgb="FF383A37"/>
        <rFont val="Georgia"/>
        <family val="1"/>
      </rPr>
      <t>5 - 18</t>
    </r>
  </si>
  <si>
    <r>
      <t>BU:GU</t>
    </r>
    <r>
      <rPr>
        <sz val="12"/>
        <color rgb="FF383A37"/>
        <rFont val="Georgia"/>
        <family val="1"/>
      </rPr>
      <t>0.11 - 0.32</t>
    </r>
  </si>
  <si>
    <r>
      <t>SRM</t>
    </r>
    <r>
      <rPr>
        <sz val="12"/>
        <color rgb="FF383A37"/>
        <rFont val="Georgia"/>
        <family val="1"/>
      </rPr>
      <t>12 - 25</t>
    </r>
  </si>
  <si>
    <r>
      <t>Brewing/Conditioning Process</t>
    </r>
    <r>
      <rPr>
        <sz val="12"/>
        <color rgb="FF383A37"/>
        <rFont val="Georgia"/>
        <family val="1"/>
      </rPr>
      <t>Blending is common. Oak-like or woody characters may be pleasantly integrated into the overall palate when aged in oak barrels</t>
    </r>
  </si>
  <si>
    <r>
      <t>Color</t>
    </r>
    <r>
      <rPr>
        <sz val="12"/>
        <color rgb="FF383A37"/>
        <rFont val="Georgia"/>
        <family val="1"/>
      </rPr>
      <t>Copper to Very Dark</t>
    </r>
  </si>
  <si>
    <r>
      <t>Cheese</t>
    </r>
    <r>
      <rPr>
        <sz val="12"/>
        <color rgb="FF383A37"/>
        <rFont val="Georgia"/>
        <family val="1"/>
      </rPr>
      <t>Mimolette</t>
    </r>
  </si>
  <si>
    <r>
      <t>Entrée</t>
    </r>
    <r>
      <rPr>
        <sz val="12"/>
        <color rgb="FF383A37"/>
        <rFont val="Georgia"/>
        <family val="1"/>
      </rPr>
      <t>Beef Carbonnade</t>
    </r>
  </si>
  <si>
    <r>
      <t>Dessert</t>
    </r>
    <r>
      <rPr>
        <sz val="12"/>
        <color rgb="FF383A37"/>
        <rFont val="Georgia"/>
        <family val="1"/>
      </rPr>
      <t>Pumpkin Pie</t>
    </r>
  </si>
  <si>
    <r>
      <t>Hop Aroma/Flavor</t>
    </r>
    <r>
      <rPr>
        <sz val="12"/>
        <color rgb="FF383A37"/>
        <rFont val="Georgia"/>
        <family val="1"/>
      </rPr>
      <t>Hop aroma and flavor are not perceived. Hop bitterness is perceived to be very low to medium-low</t>
    </r>
  </si>
  <si>
    <r>
      <t>Malt Aroma/Flavor</t>
    </r>
    <r>
      <rPr>
        <sz val="12"/>
        <color rgb="FF383A37"/>
        <rFont val="Georgia"/>
        <family val="1"/>
      </rPr>
      <t>Roasted malt aromas including a cocoa-like character are acceptable at low levels. A very low degree of malt sweetness may be present</t>
    </r>
  </si>
  <si>
    <r>
      <t>Common Malt Ingredients</t>
    </r>
    <r>
      <rPr>
        <sz val="12"/>
        <color rgb="FF383A37"/>
        <rFont val="Georgia"/>
        <family val="1"/>
      </rPr>
      <t>Vienna, Munich Special "B", Aromatic</t>
    </r>
  </si>
  <si>
    <r>
      <t>Type</t>
    </r>
    <r>
      <rPr>
        <sz val="12"/>
        <color rgb="FF383A37"/>
        <rFont val="Georgia"/>
        <family val="1"/>
      </rPr>
      <t>Brettanomyces</t>
    </r>
  </si>
  <si>
    <r>
      <t>Esters</t>
    </r>
    <r>
      <rPr>
        <sz val="12"/>
        <color rgb="FF383A37"/>
        <rFont val="Georgia"/>
        <family val="1"/>
      </rPr>
      <t>Fruit-ester aromas, which are often cherry-like, are apparent. May also have notes of raisins, plums, figs and prunes</t>
    </r>
  </si>
  <si>
    <r>
      <t>Fermentation Byproducts</t>
    </r>
    <r>
      <rPr>
        <sz val="12"/>
        <color rgb="FF383A37"/>
        <rFont val="Georgia"/>
        <family val="1"/>
      </rPr>
      <t>Some versions may be more highly carbonated and, when bottle-conditioned, may appear cloudy when served</t>
    </r>
  </si>
  <si>
    <r>
      <t>OG</t>
    </r>
    <r>
      <rPr>
        <sz val="12"/>
        <color rgb="FF383A37"/>
        <rFont val="Georgia"/>
        <family val="1"/>
      </rPr>
      <t>1.040 - 1.072</t>
    </r>
  </si>
  <si>
    <r>
      <t>ABV</t>
    </r>
    <r>
      <rPr>
        <sz val="12"/>
        <color rgb="FF383A37"/>
        <rFont val="Georgia"/>
        <family val="1"/>
      </rPr>
      <t>5.0% - 8.9%</t>
    </r>
  </si>
  <si>
    <r>
      <t>IBU</t>
    </r>
    <r>
      <rPr>
        <sz val="12"/>
        <color rgb="FF383A37"/>
        <rFont val="Georgia"/>
        <family val="1"/>
      </rPr>
      <t>15 - 21</t>
    </r>
  </si>
  <si>
    <r>
      <t>BU:GU</t>
    </r>
    <r>
      <rPr>
        <sz val="12"/>
        <color rgb="FF383A37"/>
        <rFont val="Georgia"/>
        <family val="1"/>
      </rPr>
      <t>0.29 - 0.38</t>
    </r>
  </si>
  <si>
    <r>
      <t>Apparent Attenuation</t>
    </r>
    <r>
      <rPr>
        <sz val="12"/>
        <color rgb="FF383A37"/>
        <rFont val="Georgia"/>
        <family val="1"/>
      </rPr>
      <t>78 - 80</t>
    </r>
  </si>
  <si>
    <r>
      <t>Brewing/Conditioning Process</t>
    </r>
    <r>
      <rPr>
        <sz val="12"/>
        <color rgb="FF383A37"/>
        <rFont val="Georgia"/>
        <family val="1"/>
      </rPr>
      <t>Old lambic is blended with newly fermenting young lambic to create this style. Fruit is added as well. These beers are aged in oak</t>
    </r>
  </si>
  <si>
    <r>
      <t>Color</t>
    </r>
    <r>
      <rPr>
        <sz val="12"/>
        <color rgb="FF383A37"/>
        <rFont val="Georgia"/>
        <family val="1"/>
      </rPr>
      <t>Hued with color reflecting the choice of fruit</t>
    </r>
  </si>
  <si>
    <r>
      <t>Entrée</t>
    </r>
    <r>
      <rPr>
        <sz val="12"/>
        <color rgb="FF383A37"/>
        <rFont val="Georgia"/>
        <family val="1"/>
      </rPr>
      <t>Pineapple Ceviche</t>
    </r>
  </si>
  <si>
    <r>
      <t>Dessert</t>
    </r>
    <r>
      <rPr>
        <sz val="12"/>
        <color rgb="FF383A37"/>
        <rFont val="Georgia"/>
        <family val="1"/>
      </rPr>
      <t>Chocolate Creme Caramel</t>
    </r>
  </si>
  <si>
    <r>
      <t>Hop Aroma/Flavor</t>
    </r>
    <r>
      <rPr>
        <sz val="12"/>
        <color rgb="FF383A37"/>
        <rFont val="Georgia"/>
        <family val="1"/>
      </rPr>
      <t>Hop aroma, flavor and bitterness are not perceived to very low, and can include cheesy or floral lavender notes</t>
    </r>
  </si>
  <si>
    <r>
      <t>Common Hop Ingredients</t>
    </r>
    <r>
      <rPr>
        <sz val="12"/>
        <color rgb="FF383A37"/>
        <rFont val="Georgia"/>
        <family val="1"/>
      </rPr>
      <t>Aged, stale hops</t>
    </r>
  </si>
  <si>
    <r>
      <t>Malt Aroma/Flavor</t>
    </r>
    <r>
      <rPr>
        <sz val="12"/>
        <color rgb="FF383A37"/>
        <rFont val="Georgia"/>
        <family val="1"/>
      </rPr>
      <t>Sweet malt characters are not perceived</t>
    </r>
  </si>
  <si>
    <r>
      <t>Common Malt Ingredients</t>
    </r>
    <r>
      <rPr>
        <sz val="12"/>
        <color rgb="FF383A37"/>
        <rFont val="Georgia"/>
        <family val="1"/>
      </rPr>
      <t>Pilsner, Flaked Wheat</t>
    </r>
  </si>
  <si>
    <r>
      <t>Other ingredients</t>
    </r>
    <r>
      <rPr>
        <sz val="12"/>
        <color rgb="FF383A37"/>
        <rFont val="Georgia"/>
        <family val="1"/>
      </rPr>
      <t>Unmalted Wheat, Fruit</t>
    </r>
  </si>
  <si>
    <r>
      <t>Esters</t>
    </r>
    <r>
      <rPr>
        <sz val="12"/>
        <color rgb="FF383A37"/>
        <rFont val="Georgia"/>
        <family val="1"/>
      </rPr>
      <t>Can be present.</t>
    </r>
  </si>
  <si>
    <r>
      <t>Microorganisms</t>
    </r>
    <r>
      <rPr>
        <sz val="12"/>
        <color rgb="FF383A37"/>
        <rFont val="Georgia"/>
        <family val="1"/>
      </rPr>
      <t>Lactobacillus and Pediococcus</t>
    </r>
  </si>
  <si>
    <r>
      <t>Fermentation Byproducts</t>
    </r>
    <r>
      <rPr>
        <sz val="12"/>
        <color rgb="FF383A37"/>
        <rFont val="Georgia"/>
        <family val="1"/>
      </rPr>
      <t>Cloudiness is acceptable</t>
    </r>
  </si>
  <si>
    <r>
      <t>FG</t>
    </r>
    <r>
      <rPr>
        <sz val="12"/>
        <color rgb="FF383A37"/>
        <rFont val="Georgia"/>
        <family val="1"/>
      </rPr>
      <t>1.000 - 1.010</t>
    </r>
  </si>
  <si>
    <r>
      <t>ABV</t>
    </r>
    <r>
      <rPr>
        <sz val="12"/>
        <color rgb="FF383A37"/>
        <rFont val="Georgia"/>
        <family val="1"/>
      </rPr>
      <t>6.3% - 8.9%</t>
    </r>
  </si>
  <si>
    <r>
      <t>IBU</t>
    </r>
    <r>
      <rPr>
        <sz val="12"/>
        <color rgb="FF383A37"/>
        <rFont val="Georgia"/>
        <family val="1"/>
      </rPr>
      <t>9 - 23</t>
    </r>
  </si>
  <si>
    <r>
      <t>BU:GU</t>
    </r>
    <r>
      <rPr>
        <sz val="12"/>
        <color rgb="FF383A37"/>
        <rFont val="Georgia"/>
        <family val="1"/>
      </rPr>
      <t>0.20 - 0.41</t>
    </r>
  </si>
  <si>
    <r>
      <t>SRM</t>
    </r>
    <r>
      <rPr>
        <sz val="12"/>
        <color rgb="FF383A37"/>
        <rFont val="Georgia"/>
        <family val="1"/>
      </rPr>
      <t>6 - 13</t>
    </r>
  </si>
  <si>
    <r>
      <t>Apparent Attenuation</t>
    </r>
    <r>
      <rPr>
        <sz val="12"/>
        <color rgb="FF383A37"/>
        <rFont val="Georgia"/>
        <family val="1"/>
      </rPr>
      <t>82 - 100</t>
    </r>
  </si>
  <si>
    <r>
      <t>Clarity</t>
    </r>
    <r>
      <rPr>
        <sz val="12"/>
        <color rgb="FF383A37"/>
        <rFont val="Georgia"/>
        <family val="1"/>
      </rPr>
      <t>Brilliant (but haze may exist from yeast sediment from bottle fermentation)</t>
    </r>
  </si>
  <si>
    <r>
      <t>Brewing/Conditioning Process</t>
    </r>
    <r>
      <rPr>
        <sz val="12"/>
        <color rgb="FF383A37"/>
        <rFont val="Georgia"/>
        <family val="1"/>
      </rPr>
      <t>Old lambic is blended with newly-fermented young lambic. These beers are aged in oak</t>
    </r>
  </si>
  <si>
    <r>
      <t>Color</t>
    </r>
    <r>
      <rPr>
        <sz val="12"/>
        <color rgb="FF383A37"/>
        <rFont val="Georgia"/>
        <family val="1"/>
      </rPr>
      <t>Gold to Medium Amber</t>
    </r>
  </si>
  <si>
    <r>
      <t>Cheese</t>
    </r>
    <r>
      <rPr>
        <sz val="12"/>
        <color rgb="FF383A37"/>
        <rFont val="Georgia"/>
        <family val="1"/>
      </rPr>
      <t>Mascarpone with Fruit</t>
    </r>
  </si>
  <si>
    <r>
      <t>Entrée</t>
    </r>
    <r>
      <rPr>
        <sz val="12"/>
        <color rgb="FF383A37"/>
        <rFont val="Georgia"/>
        <family val="1"/>
      </rPr>
      <t>Shellfish (Mussels)</t>
    </r>
  </si>
  <si>
    <r>
      <t>Dessert</t>
    </r>
    <r>
      <rPr>
        <sz val="12"/>
        <color rgb="FF383A37"/>
        <rFont val="Georgia"/>
        <family val="1"/>
      </rPr>
      <t>Rich Chocolate Cake</t>
    </r>
  </si>
  <si>
    <r>
      <t>Other ingredients</t>
    </r>
    <r>
      <rPr>
        <sz val="12"/>
        <color rgb="FF383A37"/>
        <rFont val="Georgia"/>
        <family val="1"/>
      </rPr>
      <t>Unmalted Wheat</t>
    </r>
  </si>
  <si>
    <r>
      <t>Palate Carbonation</t>
    </r>
    <r>
      <rPr>
        <sz val="12"/>
        <color rgb="FF383A37"/>
        <rFont val="Georgia"/>
        <family val="1"/>
      </rPr>
      <t>Very Low to High</t>
    </r>
  </si>
  <si>
    <r>
      <t>Esters</t>
    </r>
    <r>
      <rPr>
        <sz val="12"/>
        <color rgb="FF383A37"/>
        <rFont val="Georgia"/>
        <family val="1"/>
      </rPr>
      <t>High to very high fruity ester aromas are present</t>
    </r>
  </si>
  <si>
    <r>
      <t>Fermentation Byproducts</t>
    </r>
    <r>
      <rPr>
        <sz val="12"/>
        <color rgb="FF383A37"/>
        <rFont val="Georgia"/>
        <family val="1"/>
      </rPr>
      <t>Characteristic horsey, goaty, leathery and phenolic aromas derived from Brettanomyces yeast are often present at moderate levels</t>
    </r>
  </si>
  <si>
    <r>
      <t>ABV</t>
    </r>
    <r>
      <rPr>
        <sz val="12"/>
        <color rgb="FF383A37"/>
        <rFont val="Georgia"/>
        <family val="1"/>
      </rPr>
      <t>4.4-5.4</t>
    </r>
  </si>
  <si>
    <r>
      <t>IBU</t>
    </r>
    <r>
      <rPr>
        <sz val="12"/>
        <color rgb="FF383A37"/>
        <rFont val="Georgia"/>
        <family val="1"/>
      </rPr>
      <t>5 - 15</t>
    </r>
  </si>
  <si>
    <r>
      <t>BU:GU</t>
    </r>
    <r>
      <rPr>
        <sz val="12"/>
        <color rgb="FF383A37"/>
        <rFont val="Georgia"/>
        <family val="1"/>
      </rPr>
      <t>0.28 - 0.27</t>
    </r>
  </si>
  <si>
    <r>
      <t>SRM</t>
    </r>
    <r>
      <rPr>
        <sz val="12"/>
        <color rgb="FF383A37"/>
        <rFont val="Georgia"/>
        <family val="1"/>
      </rPr>
      <t>3 to 9</t>
    </r>
  </si>
  <si>
    <r>
      <t>CO2 Volumes</t>
    </r>
    <r>
      <rPr>
        <sz val="12"/>
        <color rgb="FF383A37"/>
        <rFont val="Georgia"/>
        <family val="1"/>
      </rPr>
      <t>3.3 - 4.5</t>
    </r>
  </si>
  <si>
    <r>
      <t>Apparent Attenuation</t>
    </r>
    <r>
      <rPr>
        <sz val="12"/>
        <color rgb="FF383A37"/>
        <rFont val="Georgia"/>
        <family val="1"/>
      </rPr>
      <t>77.78 - 78.5</t>
    </r>
  </si>
  <si>
    <r>
      <t>Clarity</t>
    </r>
    <r>
      <rPr>
        <sz val="12"/>
        <color rgb="FF383A37"/>
        <rFont val="Georgia"/>
        <family val="1"/>
      </rPr>
      <t>Cloudy/ Hazy</t>
    </r>
  </si>
  <si>
    <r>
      <t>Brewing/Conditioning Process</t>
    </r>
    <r>
      <rPr>
        <sz val="12"/>
        <color rgb="FF383A37"/>
        <rFont val="Georgia"/>
        <family val="1"/>
      </rPr>
      <t>May be fermented with pure beer yeast strains, or with yeast mixed with bacteria. Contemporary Gose may be spontaneously fermented and should exhibit complexity of acidic, flavor and aroma contributed by introduction of wild yeast and bacteria into the fermentation</t>
    </r>
  </si>
  <si>
    <r>
      <t>Cheese</t>
    </r>
    <r>
      <rPr>
        <sz val="12"/>
        <color rgb="FF383A37"/>
        <rFont val="Georgia"/>
        <family val="1"/>
      </rPr>
      <t>Queso Fresco</t>
    </r>
  </si>
  <si>
    <r>
      <t>Entrée</t>
    </r>
    <r>
      <rPr>
        <sz val="12"/>
        <color rgb="FF383A37"/>
        <rFont val="Georgia"/>
        <family val="1"/>
      </rPr>
      <t>Watermelon Salad</t>
    </r>
  </si>
  <si>
    <r>
      <t>Dessert</t>
    </r>
    <r>
      <rPr>
        <sz val="12"/>
        <color rgb="FF383A37"/>
        <rFont val="Georgia"/>
        <family val="1"/>
      </rPr>
      <t>Greek Yogurt Lemon Mousse</t>
    </r>
  </si>
  <si>
    <r>
      <t>Hop Aroma/Flavor</t>
    </r>
    <r>
      <rPr>
        <sz val="12"/>
        <color rgb="FF383A37"/>
        <rFont val="Georgia"/>
        <family val="1"/>
      </rPr>
      <t>None</t>
    </r>
  </si>
  <si>
    <r>
      <t>Common Malt Ingredients</t>
    </r>
    <r>
      <rPr>
        <sz val="12"/>
        <color rgb="FF383A37"/>
        <rFont val="Georgia"/>
        <family val="1"/>
      </rPr>
      <t>Pilsner and Wheat</t>
    </r>
  </si>
  <si>
    <r>
      <t>Other ingredients</t>
    </r>
    <r>
      <rPr>
        <sz val="12"/>
        <color rgb="FF383A37"/>
        <rFont val="Georgia"/>
        <family val="1"/>
      </rPr>
      <t>Table Salt, herbs, spices or fruit</t>
    </r>
  </si>
  <si>
    <r>
      <t>Microorganisms</t>
    </r>
    <r>
      <rPr>
        <sz val="12"/>
        <color rgb="FF383A37"/>
        <rFont val="Georgia"/>
        <family val="1"/>
      </rPr>
      <t>Lactobacilus, Brettanomyces</t>
    </r>
  </si>
  <si>
    <r>
      <t>Fermentation Byproducts</t>
    </r>
    <r>
      <rPr>
        <sz val="12"/>
        <color rgb="FF383A37"/>
        <rFont val="Georgia"/>
        <family val="1"/>
      </rPr>
      <t>Horsey, leathery or earthy flavors contributed by Brettanomyces yeasts may be evident but have a very low profile, as this beer is not excessively aged</t>
    </r>
  </si>
  <si>
    <r>
      <t>ABV</t>
    </r>
    <r>
      <rPr>
        <sz val="12"/>
        <color rgb="FF383A37"/>
        <rFont val="Georgia"/>
        <family val="1"/>
      </rPr>
      <t>4.1%-5.1%</t>
    </r>
  </si>
  <si>
    <r>
      <t>BU:GU</t>
    </r>
    <r>
      <rPr>
        <sz val="12"/>
        <color rgb="FF383A37"/>
        <rFont val="Georgia"/>
        <family val="1"/>
      </rPr>
      <t>0.13 - 0.31</t>
    </r>
  </si>
  <si>
    <r>
      <t>SRM</t>
    </r>
    <r>
      <rPr>
        <sz val="12"/>
        <color rgb="FF383A37"/>
        <rFont val="Georgia"/>
        <family val="1"/>
      </rPr>
      <t>2 - 6</t>
    </r>
  </si>
  <si>
    <r>
      <t>CO2 Volumes</t>
    </r>
    <r>
      <rPr>
        <sz val="12"/>
        <color rgb="FF383A37"/>
        <rFont val="Georgia"/>
        <family val="1"/>
      </rPr>
      <t>2.2 - 2.7</t>
    </r>
  </si>
  <si>
    <r>
      <t>Apparent Attenuation</t>
    </r>
    <r>
      <rPr>
        <sz val="12"/>
        <color rgb="FF383A37"/>
        <rFont val="Georgia"/>
        <family val="1"/>
      </rPr>
      <t>70.83 - 85.00</t>
    </r>
  </si>
  <si>
    <r>
      <t>Cheese</t>
    </r>
    <r>
      <rPr>
        <sz val="12"/>
        <color rgb="FF383A37"/>
        <rFont val="Georgia"/>
        <family val="1"/>
      </rPr>
      <t>Smear Ripened Cheeses</t>
    </r>
  </si>
  <si>
    <r>
      <t>Entrée</t>
    </r>
    <r>
      <rPr>
        <sz val="12"/>
        <color rgb="FF383A37"/>
        <rFont val="Georgia"/>
        <family val="1"/>
      </rPr>
      <t>Pho</t>
    </r>
  </si>
  <si>
    <r>
      <t>Dessert</t>
    </r>
    <r>
      <rPr>
        <sz val="12"/>
        <color rgb="FF383A37"/>
        <rFont val="Georgia"/>
        <family val="1"/>
      </rPr>
      <t>Kettle Corn Balls</t>
    </r>
  </si>
  <si>
    <r>
      <t>Hop Aroma/Flavor</t>
    </r>
    <r>
      <rPr>
        <sz val="12"/>
        <color rgb="FF383A37"/>
        <rFont val="Georgia"/>
        <family val="1"/>
      </rPr>
      <t>Low</t>
    </r>
  </si>
  <si>
    <r>
      <t>Common Hop Ingredients</t>
    </r>
    <r>
      <rPr>
        <sz val="12"/>
        <color rgb="FF383A37"/>
        <rFont val="Georgia"/>
        <family val="1"/>
      </rPr>
      <t>Variety of bittering hops may be used</t>
    </r>
  </si>
  <si>
    <r>
      <t>Common Malt Ingredients</t>
    </r>
    <r>
      <rPr>
        <sz val="12"/>
        <color rgb="FF383A37"/>
        <rFont val="Georgia"/>
        <family val="1"/>
      </rPr>
      <t>2-Row and 6-Row Barley</t>
    </r>
  </si>
  <si>
    <r>
      <t>Other ingredients</t>
    </r>
    <r>
      <rPr>
        <sz val="12"/>
        <color rgb="FF383A37"/>
        <rFont val="Georgia"/>
        <family val="1"/>
      </rPr>
      <t>Corn, Rice and other adjuncts are often used</t>
    </r>
  </si>
  <si>
    <r>
      <t>Esters</t>
    </r>
    <r>
      <rPr>
        <sz val="12"/>
        <color rgb="FF383A37"/>
        <rFont val="Georgia"/>
        <family val="1"/>
      </rPr>
      <t>Low fruity-ester flavors are acceptable</t>
    </r>
  </si>
  <si>
    <r>
      <t>IBU</t>
    </r>
    <r>
      <rPr>
        <sz val="12"/>
        <color rgb="FF383A37"/>
        <rFont val="Georgia"/>
        <family val="1"/>
      </rPr>
      <t>30 - 45</t>
    </r>
  </si>
  <si>
    <r>
      <t>BU:GU</t>
    </r>
    <r>
      <rPr>
        <sz val="12"/>
        <color rgb="FF383A37"/>
        <rFont val="Georgia"/>
        <family val="1"/>
      </rPr>
      <t>0.68 - 0.80</t>
    </r>
  </si>
  <si>
    <r>
      <t>Apparent Attenuation</t>
    </r>
    <r>
      <rPr>
        <sz val="12"/>
        <color rgb="FF383A37"/>
        <rFont val="Georgia"/>
        <family val="1"/>
      </rPr>
      <t>64 - 68</t>
    </r>
  </si>
  <si>
    <r>
      <t>Brewing/Conditioning Process</t>
    </r>
    <r>
      <rPr>
        <sz val="12"/>
        <color rgb="FF383A37"/>
        <rFont val="Georgia"/>
        <family val="1"/>
      </rPr>
      <t>Decoction mash provides a rich malt character</t>
    </r>
  </si>
  <si>
    <r>
      <t>Country of Origin</t>
    </r>
    <r>
      <rPr>
        <sz val="12"/>
        <color rgb="FF383A37"/>
        <rFont val="Georgia"/>
        <family val="1"/>
      </rPr>
      <t>Czech Republic</t>
    </r>
  </si>
  <si>
    <r>
      <t>Cheese</t>
    </r>
    <r>
      <rPr>
        <sz val="12"/>
        <color rgb="FF383A37"/>
        <rFont val="Georgia"/>
        <family val="1"/>
      </rPr>
      <t>Mild White Cheddar</t>
    </r>
  </si>
  <si>
    <r>
      <t>Entrée</t>
    </r>
    <r>
      <rPr>
        <sz val="12"/>
        <color rgb="FF383A37"/>
        <rFont val="Georgia"/>
        <family val="1"/>
      </rPr>
      <t>Shellfish, Chicken, Salads</t>
    </r>
  </si>
  <si>
    <r>
      <t>Dessert</t>
    </r>
    <r>
      <rPr>
        <sz val="12"/>
        <color rgb="FF383A37"/>
        <rFont val="Georgia"/>
        <family val="1"/>
      </rPr>
      <t>Shortbread Cookies</t>
    </r>
  </si>
  <si>
    <r>
      <t>Hop Aroma/Flavor</t>
    </r>
    <r>
      <rPr>
        <sz val="12"/>
        <color rgb="FF383A37"/>
        <rFont val="Georgia"/>
        <family val="1"/>
      </rPr>
      <t>Hop aroma and flavor are low to medium-low, deriving from noble-type hops. Hop bitterness is medium</t>
    </r>
  </si>
  <si>
    <r>
      <t>Malt Aroma/Flavor</t>
    </r>
    <r>
      <rPr>
        <sz val="12"/>
        <color rgb="FF383A37"/>
        <rFont val="Georgia"/>
        <family val="1"/>
      </rPr>
      <t>Toasted, biscuit-like, and/or bready malt flavors along with low levels of fermented-malt-derived sulfur compounds may be evident</t>
    </r>
  </si>
  <si>
    <r>
      <t>Common Malt Ingredients</t>
    </r>
    <r>
      <rPr>
        <sz val="12"/>
        <color rgb="FF383A37"/>
        <rFont val="Georgia"/>
        <family val="1"/>
      </rPr>
      <t>Pilsner, CaraPils</t>
    </r>
  </si>
  <si>
    <r>
      <t>Water Type</t>
    </r>
    <r>
      <rPr>
        <sz val="12"/>
        <color rgb="FF383A37"/>
        <rFont val="Georgia"/>
        <family val="1"/>
      </rPr>
      <t>Low mineral content</t>
    </r>
  </si>
  <si>
    <r>
      <t>Fermentation Byproducts</t>
    </r>
    <r>
      <rPr>
        <sz val="12"/>
        <color rgb="FF383A37"/>
        <rFont val="Georgia"/>
        <family val="1"/>
      </rPr>
      <t>Low levels of fermentation-derived sulfur compounds may be evident. Very low levels of diacetyl and DMS flavors may be perceived</t>
    </r>
  </si>
  <si>
    <r>
      <t>ABV</t>
    </r>
    <r>
      <rPr>
        <sz val="12"/>
        <color rgb="FF383A37"/>
        <rFont val="Georgia"/>
        <family val="1"/>
      </rPr>
      <t>5.1% - 6.1%</t>
    </r>
  </si>
  <si>
    <r>
      <t>IBU</t>
    </r>
    <r>
      <rPr>
        <sz val="12"/>
        <color rgb="FF383A37"/>
        <rFont val="Georgia"/>
        <family val="1"/>
      </rPr>
      <t>23 - 29</t>
    </r>
  </si>
  <si>
    <r>
      <t>BU:GU</t>
    </r>
    <r>
      <rPr>
        <sz val="12"/>
        <color rgb="FF383A37"/>
        <rFont val="Georgia"/>
        <family val="1"/>
      </rPr>
      <t>0.48 - 0.52</t>
    </r>
  </si>
  <si>
    <r>
      <t>Color</t>
    </r>
    <r>
      <rPr>
        <sz val="12"/>
        <color rgb="FF383A37"/>
        <rFont val="Georgia"/>
        <family val="1"/>
      </rPr>
      <t>Straw to Deep Golden</t>
    </r>
  </si>
  <si>
    <r>
      <t>Entrée</t>
    </r>
    <r>
      <rPr>
        <sz val="12"/>
        <color rgb="FF383A37"/>
        <rFont val="Georgia"/>
        <family val="1"/>
      </rPr>
      <t>Grilled Steak</t>
    </r>
  </si>
  <si>
    <r>
      <t>Hop Aroma/Flavor</t>
    </r>
    <r>
      <rPr>
        <sz val="12"/>
        <color rgb="FF383A37"/>
        <rFont val="Georgia"/>
        <family val="1"/>
      </rPr>
      <t>Hop flavor and aroma are very low to low, deriving from noble-type hops. Hop bitterness is medium</t>
    </r>
  </si>
  <si>
    <r>
      <t>Malt Aroma/Flavor</t>
    </r>
    <r>
      <rPr>
        <sz val="12"/>
        <color rgb="FF383A37"/>
        <rFont val="Georgia"/>
        <family val="1"/>
      </rPr>
      <t>Sweet malt flavor can be low and should not be caramel-like</t>
    </r>
  </si>
  <si>
    <r>
      <t>Common Malt Ingredients</t>
    </r>
    <r>
      <rPr>
        <sz val="12"/>
        <color rgb="FF383A37"/>
        <rFont val="Georgia"/>
        <family val="1"/>
      </rPr>
      <t>Pilsner, Munich</t>
    </r>
  </si>
  <si>
    <r>
      <t>Water Type</t>
    </r>
    <r>
      <rPr>
        <sz val="12"/>
        <color rgb="FF383A37"/>
        <rFont val="Georgia"/>
        <family val="1"/>
      </rPr>
      <t>Gypsum, Chalk</t>
    </r>
  </si>
  <si>
    <r>
      <t>BU:GU</t>
    </r>
    <r>
      <rPr>
        <sz val="12"/>
        <color rgb="FF383A37"/>
        <rFont val="Georgia"/>
        <family val="1"/>
      </rPr>
      <t>0.41 - 0.50</t>
    </r>
  </si>
  <si>
    <r>
      <t>SRM</t>
    </r>
    <r>
      <rPr>
        <sz val="12"/>
        <color rgb="FF383A37"/>
        <rFont val="Georgia"/>
        <family val="1"/>
      </rPr>
      <t>4 - 5.5</t>
    </r>
  </si>
  <si>
    <r>
      <t>Apparent Attenuation</t>
    </r>
    <r>
      <rPr>
        <sz val="12"/>
        <color rgb="FF383A37"/>
        <rFont val="Georgia"/>
        <family val="1"/>
      </rPr>
      <t>76 - 82</t>
    </r>
  </si>
  <si>
    <r>
      <t>Color</t>
    </r>
    <r>
      <rPr>
        <sz val="12"/>
        <color rgb="FF383A37"/>
        <rFont val="Georgia"/>
        <family val="1"/>
      </rPr>
      <t>Pale to Golden</t>
    </r>
  </si>
  <si>
    <r>
      <t>Cheese</t>
    </r>
    <r>
      <rPr>
        <sz val="12"/>
        <color rgb="FF383A37"/>
        <rFont val="Georgia"/>
        <family val="1"/>
      </rPr>
      <t>Colby</t>
    </r>
  </si>
  <si>
    <r>
      <t>Entrée</t>
    </r>
    <r>
      <rPr>
        <sz val="12"/>
        <color rgb="FF383A37"/>
        <rFont val="Georgia"/>
        <family val="1"/>
      </rPr>
      <t>Samosas</t>
    </r>
  </si>
  <si>
    <r>
      <t>Hop Aroma/Flavor</t>
    </r>
    <r>
      <rPr>
        <sz val="12"/>
        <color rgb="FF383A37"/>
        <rFont val="Georgia"/>
        <family val="1"/>
      </rPr>
      <t>Hop aroma is not perceived to low. Hop flavor and bitterness are very low to low, deriving from European noble-type hops</t>
    </r>
  </si>
  <si>
    <r>
      <t>Malt Aroma/Flavor</t>
    </r>
    <r>
      <rPr>
        <sz val="12"/>
        <color rgb="FF383A37"/>
        <rFont val="Georgia"/>
        <family val="1"/>
      </rPr>
      <t>Malt character is sometimes bread-like, yet always reminiscent of freshly and very lightly toasted malted barley</t>
    </r>
  </si>
  <si>
    <r>
      <t>OG</t>
    </r>
    <r>
      <rPr>
        <sz val="12"/>
        <color rgb="FF383A37"/>
        <rFont val="Georgia"/>
        <family val="1"/>
      </rPr>
      <t>1.044 - 1.055</t>
    </r>
  </si>
  <si>
    <r>
      <t>ABV</t>
    </r>
    <r>
      <rPr>
        <sz val="12"/>
        <color rgb="FF383A37"/>
        <rFont val="Georgia"/>
        <family val="1"/>
      </rPr>
      <t>4.6% - 5.3%</t>
    </r>
  </si>
  <si>
    <r>
      <t>BU:GU</t>
    </r>
    <r>
      <rPr>
        <sz val="12"/>
        <color rgb="FF383A37"/>
        <rFont val="Georgia"/>
        <family val="1"/>
      </rPr>
      <t>0.57 - 0.73</t>
    </r>
  </si>
  <si>
    <r>
      <t>SRM</t>
    </r>
    <r>
      <rPr>
        <sz val="12"/>
        <color rgb="FF383A37"/>
        <rFont val="Georgia"/>
        <family val="1"/>
      </rPr>
      <t>3 - 4</t>
    </r>
  </si>
  <si>
    <r>
      <t>Apparent Attenuation</t>
    </r>
    <r>
      <rPr>
        <sz val="12"/>
        <color rgb="FF383A37"/>
        <rFont val="Georgia"/>
        <family val="1"/>
      </rPr>
      <t>78 - 86</t>
    </r>
  </si>
  <si>
    <r>
      <t>Hop Aroma/Flavor</t>
    </r>
    <r>
      <rPr>
        <sz val="12"/>
        <color rgb="FF383A37"/>
        <rFont val="Georgia"/>
        <family val="1"/>
      </rPr>
      <t>Hop flavor is moderate and quite obvious, deriving from late hopping (not dry-hopping) with noble-type hops. Hop bitterness is medium to high</t>
    </r>
  </si>
  <si>
    <r>
      <t>Malt Aroma/Flavor</t>
    </r>
    <r>
      <rPr>
        <sz val="12"/>
        <color rgb="FF383A37"/>
        <rFont val="Georgia"/>
        <family val="1"/>
      </rPr>
      <t>A sweet, malty residual aroma can be perceived</t>
    </r>
  </si>
  <si>
    <r>
      <t>Fermentation Byproducts</t>
    </r>
    <r>
      <rPr>
        <sz val="12"/>
        <color rgb="FF383A37"/>
        <rFont val="Georgia"/>
        <family val="1"/>
      </rPr>
      <t>Very low levels of DMS aroma may be present, usually below most beer drinkers’ taste thresholds and not detectable except to the trained or sensitive palate</t>
    </r>
  </si>
  <si>
    <r>
      <t>OG</t>
    </r>
    <r>
      <rPr>
        <sz val="12"/>
        <color rgb="FF383A37"/>
        <rFont val="Georgia"/>
        <family val="1"/>
      </rPr>
      <t>1.056 - 1.075</t>
    </r>
  </si>
  <si>
    <r>
      <t>BU:GU</t>
    </r>
    <r>
      <rPr>
        <sz val="12"/>
        <color rgb="FF383A37"/>
        <rFont val="Georgia"/>
        <family val="1"/>
      </rPr>
      <t>0.89 - 0.93</t>
    </r>
  </si>
  <si>
    <r>
      <t>SRM</t>
    </r>
    <r>
      <rPr>
        <sz val="12"/>
        <color rgb="FF383A37"/>
        <rFont val="Georgia"/>
        <family val="1"/>
      </rPr>
      <t>35+</t>
    </r>
  </si>
  <si>
    <r>
      <t>Apparent Attenuation</t>
    </r>
    <r>
      <rPr>
        <sz val="12"/>
        <color rgb="FF383A37"/>
        <rFont val="Georgia"/>
        <family val="1"/>
      </rPr>
      <t>76 - 79</t>
    </r>
  </si>
  <si>
    <r>
      <t>Cheese</t>
    </r>
    <r>
      <rPr>
        <sz val="12"/>
        <color rgb="FF383A37"/>
        <rFont val="Georgia"/>
        <family val="1"/>
      </rPr>
      <t>Blue Cheeses, Aged Gouda</t>
    </r>
  </si>
  <si>
    <r>
      <t>Entrée</t>
    </r>
    <r>
      <rPr>
        <sz val="12"/>
        <color rgb="FF383A37"/>
        <rFont val="Georgia"/>
        <family val="1"/>
      </rPr>
      <t>Grilled Shrimp and Grits</t>
    </r>
  </si>
  <si>
    <r>
      <t>Dessert</t>
    </r>
    <r>
      <rPr>
        <sz val="12"/>
        <color rgb="FF383A37"/>
        <rFont val="Georgia"/>
        <family val="1"/>
      </rPr>
      <t>Chocolate Truffles</t>
    </r>
  </si>
  <si>
    <r>
      <t>Hop Aroma/Flavor</t>
    </r>
    <r>
      <rPr>
        <sz val="12"/>
        <color rgb="FF383A37"/>
        <rFont val="Georgia"/>
        <family val="1"/>
      </rPr>
      <t>Hop aroma is medium-high to high, with hops of all origins contributing fruity, floral, herbal or other notes</t>
    </r>
  </si>
  <si>
    <r>
      <t>Malt Aroma/Flavor</t>
    </r>
    <r>
      <rPr>
        <sz val="12"/>
        <color rgb="FF383A37"/>
        <rFont val="Georgia"/>
        <family val="1"/>
      </rPr>
      <t>Medium caramel malt and dark roasted malt aromas are evident</t>
    </r>
  </si>
  <si>
    <r>
      <t>Brewing/Conditioning Process</t>
    </r>
    <r>
      <rPr>
        <sz val="12"/>
        <color rgb="FF383A37"/>
        <rFont val="Georgia"/>
        <family val="1"/>
      </rPr>
      <t>Aging in wood barrels necessary</t>
    </r>
  </si>
  <si>
    <r>
      <t>Cheese</t>
    </r>
    <r>
      <rPr>
        <sz val="12"/>
        <color rgb="FF383A37"/>
        <rFont val="Georgia"/>
        <family val="1"/>
      </rPr>
      <t>Varies</t>
    </r>
  </si>
  <si>
    <r>
      <t>Dessert</t>
    </r>
    <r>
      <rPr>
        <sz val="12"/>
        <color rgb="FF383A37"/>
        <rFont val="Georgia"/>
        <family val="1"/>
      </rPr>
      <t>Varies</t>
    </r>
  </si>
  <si>
    <r>
      <t>Hop Aroma/Flavor</t>
    </r>
    <r>
      <rPr>
        <sz val="12"/>
        <color rgb="FF383A37"/>
        <rFont val="Georgia"/>
        <family val="1"/>
      </rPr>
      <t>Varies</t>
    </r>
  </si>
  <si>
    <r>
      <t>Other ingredients</t>
    </r>
    <r>
      <rPr>
        <sz val="12"/>
        <color rgb="FF383A37"/>
        <rFont val="Georgia"/>
        <family val="1"/>
      </rPr>
      <t>Wood Aging</t>
    </r>
  </si>
  <si>
    <r>
      <t>Type</t>
    </r>
    <r>
      <rPr>
        <sz val="12"/>
        <color rgb="FF383A37"/>
        <rFont val="Georgia"/>
        <family val="1"/>
      </rPr>
      <t>Lager or Ale. May have Brettanomyces character</t>
    </r>
  </si>
  <si>
    <r>
      <t>OG</t>
    </r>
    <r>
      <rPr>
        <sz val="12"/>
        <color rgb="FF383A37"/>
        <rFont val="Georgia"/>
        <family val="1"/>
      </rPr>
      <t>1.030 - 1.110</t>
    </r>
  </si>
  <si>
    <r>
      <t>FG</t>
    </r>
    <r>
      <rPr>
        <sz val="12"/>
        <color rgb="FF383A37"/>
        <rFont val="Georgia"/>
        <family val="1"/>
      </rPr>
      <t>1.006 - 1.030</t>
    </r>
  </si>
  <si>
    <r>
      <t>ABV</t>
    </r>
    <r>
      <rPr>
        <sz val="12"/>
        <color rgb="FF383A37"/>
        <rFont val="Georgia"/>
        <family val="1"/>
      </rPr>
      <t>2.5% - 12.0%</t>
    </r>
  </si>
  <si>
    <r>
      <t>IBU</t>
    </r>
    <r>
      <rPr>
        <sz val="12"/>
        <color rgb="FF383A37"/>
        <rFont val="Georgia"/>
        <family val="1"/>
      </rPr>
      <t>15 - 40</t>
    </r>
  </si>
  <si>
    <r>
      <t>BU:GU</t>
    </r>
    <r>
      <rPr>
        <sz val="12"/>
        <color rgb="FF383A37"/>
        <rFont val="Georgia"/>
        <family val="1"/>
      </rPr>
      <t>0.36 - 0.50</t>
    </r>
  </si>
  <si>
    <r>
      <t>SRM</t>
    </r>
    <r>
      <rPr>
        <sz val="12"/>
        <color rgb="FF383A37"/>
        <rFont val="Georgia"/>
        <family val="1"/>
      </rPr>
      <t>15 - 50</t>
    </r>
  </si>
  <si>
    <r>
      <t>Apparent Attenuation</t>
    </r>
    <r>
      <rPr>
        <sz val="12"/>
        <color rgb="FF383A37"/>
        <rFont val="Georgia"/>
        <family val="1"/>
      </rPr>
      <t>73 - 80</t>
    </r>
  </si>
  <si>
    <r>
      <t>Clarity</t>
    </r>
    <r>
      <rPr>
        <sz val="12"/>
        <color rgb="FF383A37"/>
        <rFont val="Georgia"/>
        <family val="1"/>
      </rPr>
      <t>Brilliant to Opaque</t>
    </r>
  </si>
  <si>
    <r>
      <t>Color</t>
    </r>
    <r>
      <rPr>
        <sz val="12"/>
        <color rgb="FF383A37"/>
        <rFont val="Georgia"/>
        <family val="1"/>
      </rPr>
      <t>Light Brown to Black</t>
    </r>
  </si>
  <si>
    <r>
      <t>Cheese</t>
    </r>
    <r>
      <rPr>
        <sz val="12"/>
        <color rgb="FF383A37"/>
        <rFont val="Georgia"/>
        <family val="1"/>
      </rPr>
      <t>Aged Goat Cheeses</t>
    </r>
  </si>
  <si>
    <r>
      <t>Entrée</t>
    </r>
    <r>
      <rPr>
        <sz val="12"/>
        <color rgb="FF383A37"/>
        <rFont val="Georgia"/>
        <family val="1"/>
      </rPr>
      <t>Venison Mole</t>
    </r>
  </si>
  <si>
    <r>
      <t>Dessert</t>
    </r>
    <r>
      <rPr>
        <sz val="12"/>
        <color rgb="FF383A37"/>
        <rFont val="Georgia"/>
        <family val="1"/>
      </rPr>
      <t>Raspberry Torte</t>
    </r>
  </si>
  <si>
    <r>
      <t>Hop Aroma/Flavor</t>
    </r>
    <r>
      <rPr>
        <sz val="12"/>
        <color rgb="FF383A37"/>
        <rFont val="Georgia"/>
        <family val="1"/>
      </rPr>
      <t>Hop flavor and aroma are lower than might be expected for the style. Under-hopping allows chocolate to contribute to the flavor profile while not becoming excessively bitter. Hop bitterness is very low to medium-low.</t>
    </r>
  </si>
  <si>
    <r>
      <t>Malt Aroma/Flavor</t>
    </r>
    <r>
      <rPr>
        <sz val="12"/>
        <color rgb="FF383A37"/>
        <rFont val="Georgia"/>
        <family val="1"/>
      </rPr>
      <t>Medium-low to medium-high malt sweetness helps accent cocoa flavors and aromas.</t>
    </r>
  </si>
  <si>
    <r>
      <t>Other ingredients</t>
    </r>
    <r>
      <rPr>
        <sz val="12"/>
        <color rgb="FF383A37"/>
        <rFont val="Georgia"/>
        <family val="1"/>
      </rPr>
      <t>Chocolate</t>
    </r>
  </si>
  <si>
    <r>
      <t>IBU</t>
    </r>
    <r>
      <rPr>
        <sz val="12"/>
        <color rgb="FF383A37"/>
        <rFont val="Georgia"/>
        <family val="1"/>
      </rPr>
      <t>15 - 45</t>
    </r>
  </si>
  <si>
    <r>
      <t>BU:GU</t>
    </r>
    <r>
      <rPr>
        <sz val="12"/>
        <color rgb="FF383A37"/>
        <rFont val="Georgia"/>
        <family val="1"/>
      </rPr>
      <t>0.50 - 0.41</t>
    </r>
  </si>
  <si>
    <r>
      <t>SRM</t>
    </r>
    <r>
      <rPr>
        <sz val="12"/>
        <color rgb="FF383A37"/>
        <rFont val="Georgia"/>
        <family val="1"/>
      </rPr>
      <t>4 - 50</t>
    </r>
  </si>
  <si>
    <r>
      <t>Brewing/Conditioning Process</t>
    </r>
    <r>
      <rPr>
        <sz val="12"/>
        <color rgb="FF383A37"/>
        <rFont val="Georgia"/>
        <family val="1"/>
      </rPr>
      <t>Coffee is used in any of its forms to create a distinct (ranging from subtle to intense) character.</t>
    </r>
  </si>
  <si>
    <r>
      <t>Color</t>
    </r>
    <r>
      <rPr>
        <sz val="12"/>
        <color rgb="FF383A37"/>
        <rFont val="Georgia"/>
        <family val="1"/>
      </rPr>
      <t>Pale to Black</t>
    </r>
  </si>
  <si>
    <r>
      <t>Cheese</t>
    </r>
    <r>
      <rPr>
        <sz val="12"/>
        <color rgb="FF383A37"/>
        <rFont val="Georgia"/>
        <family val="1"/>
      </rPr>
      <t>Aged Semi-Hard Cheeses</t>
    </r>
  </si>
  <si>
    <r>
      <t>Entrée</t>
    </r>
    <r>
      <rPr>
        <sz val="12"/>
        <color rgb="FF383A37"/>
        <rFont val="Georgia"/>
        <family val="1"/>
      </rPr>
      <t>Pork Tenderloin</t>
    </r>
  </si>
  <si>
    <r>
      <t>Dessert</t>
    </r>
    <r>
      <rPr>
        <sz val="12"/>
        <color rgb="FF383A37"/>
        <rFont val="Georgia"/>
        <family val="1"/>
      </rPr>
      <t>Vanilla Ice Cream</t>
    </r>
  </si>
  <si>
    <r>
      <t>Hop Aroma/Flavor</t>
    </r>
    <r>
      <rPr>
        <sz val="12"/>
        <color rgb="FF383A37"/>
        <rFont val="Georgia"/>
        <family val="1"/>
      </rPr>
      <t>Hop flavor is reflective of aroma and can be low to high depending on the intent of the underlying style. Hop bitterness is very low to medium-high.</t>
    </r>
  </si>
  <si>
    <r>
      <t>Malt Aroma/Flavor</t>
    </r>
    <r>
      <rPr>
        <sz val="12"/>
        <color rgb="FF383A37"/>
        <rFont val="Georgia"/>
        <family val="1"/>
      </rPr>
      <t>Medium-low to medium malt sweetness helps accent coffee flavors and aromas.</t>
    </r>
  </si>
  <si>
    <r>
      <t>Other ingredients</t>
    </r>
    <r>
      <rPr>
        <sz val="12"/>
        <color rgb="FF383A37"/>
        <rFont val="Georgia"/>
        <family val="1"/>
      </rPr>
      <t>Coffee</t>
    </r>
  </si>
  <si>
    <r>
      <t>ABV</t>
    </r>
    <r>
      <rPr>
        <sz val="12"/>
        <color rgb="FF383A37"/>
        <rFont val="Georgia"/>
        <family val="1"/>
      </rPr>
      <t>2.5% - 13.3%</t>
    </r>
  </si>
  <si>
    <r>
      <t>IBU</t>
    </r>
    <r>
      <rPr>
        <sz val="12"/>
        <color rgb="FF383A37"/>
        <rFont val="Georgia"/>
        <family val="1"/>
      </rPr>
      <t>5 - 45</t>
    </r>
  </si>
  <si>
    <r>
      <t>BU:GU</t>
    </r>
    <r>
      <rPr>
        <sz val="12"/>
        <color rgb="FF383A37"/>
        <rFont val="Georgia"/>
        <family val="1"/>
      </rPr>
      <t>0.17 - 0.64</t>
    </r>
  </si>
  <si>
    <r>
      <t>SRM</t>
    </r>
    <r>
      <rPr>
        <sz val="12"/>
        <color rgb="FF383A37"/>
        <rFont val="Georgia"/>
        <family val="1"/>
      </rPr>
      <t>5 - 50</t>
    </r>
  </si>
  <si>
    <r>
      <t>Brewing/Conditioning Process</t>
    </r>
    <r>
      <rPr>
        <sz val="12"/>
        <color rgb="FF383A37"/>
        <rFont val="Georgia"/>
        <family val="1"/>
      </rPr>
      <t>Varies</t>
    </r>
  </si>
  <si>
    <r>
      <t>Color</t>
    </r>
    <r>
      <rPr>
        <sz val="12"/>
        <color rgb="FF383A37"/>
        <rFont val="Georgia"/>
        <family val="1"/>
      </rPr>
      <t>Pale to Very Dark</t>
    </r>
  </si>
  <si>
    <r>
      <t>Cheese</t>
    </r>
    <r>
      <rPr>
        <sz val="12"/>
        <color rgb="FF383A37"/>
        <rFont val="Georgia"/>
        <family val="1"/>
      </rPr>
      <t>Creamy Cheeses</t>
    </r>
  </si>
  <si>
    <r>
      <t>Entrée</t>
    </r>
    <r>
      <rPr>
        <sz val="12"/>
        <color rgb="FF383A37"/>
        <rFont val="Georgia"/>
        <family val="1"/>
      </rPr>
      <t>Salads</t>
    </r>
  </si>
  <si>
    <r>
      <t>Hop Aroma/Flavor</t>
    </r>
    <r>
      <rPr>
        <sz val="12"/>
        <color rgb="FF383A37"/>
        <rFont val="Georgia"/>
        <family val="1"/>
      </rPr>
      <t>Hop bitterness is very low to medium-high</t>
    </r>
  </si>
  <si>
    <r>
      <t>Malt Aroma/Flavor</t>
    </r>
    <r>
      <rPr>
        <sz val="12"/>
        <color rgb="FF383A37"/>
        <rFont val="Georgia"/>
        <family val="1"/>
      </rPr>
      <t>Malt sweetness is very low to medium-high</t>
    </r>
  </si>
  <si>
    <r>
      <t>Other ingredients</t>
    </r>
    <r>
      <rPr>
        <sz val="12"/>
        <color rgb="FF383A37"/>
        <rFont val="Georgia"/>
        <family val="1"/>
      </rPr>
      <t>Fruit, Vegetables</t>
    </r>
  </si>
  <si>
    <r>
      <t>Serving Temperature</t>
    </r>
    <r>
      <rPr>
        <sz val="12"/>
        <color rgb="FF383A37"/>
        <rFont val="Georgia"/>
        <family val="1"/>
      </rPr>
      <t>Varies</t>
    </r>
  </si>
  <si>
    <r>
      <t>Brewing/Conditioning Process</t>
    </r>
    <r>
      <rPr>
        <sz val="12"/>
        <color rgb="FF383A37"/>
        <rFont val="Georgia"/>
        <family val="1"/>
      </rPr>
      <t>Typically brewed without malt</t>
    </r>
  </si>
  <si>
    <r>
      <t>Malt Aroma/Flavor</t>
    </r>
    <r>
      <rPr>
        <sz val="12"/>
        <color rgb="FF383A37"/>
        <rFont val="Georgia"/>
        <family val="1"/>
      </rPr>
      <t>Malted barley, wheat and other gluten-rich grains should not be perceived</t>
    </r>
  </si>
  <si>
    <r>
      <t>Common Malt Ingredients</t>
    </r>
    <r>
      <rPr>
        <sz val="12"/>
        <color rgb="FF383A37"/>
        <rFont val="Georgia"/>
        <family val="1"/>
      </rPr>
      <t>N/A</t>
    </r>
  </si>
  <si>
    <r>
      <t>Other ingredients</t>
    </r>
    <r>
      <rPr>
        <sz val="12"/>
        <color rgb="FF383A37"/>
        <rFont val="Georgia"/>
        <family val="1"/>
      </rPr>
      <t>Fermentable sugars, grains and converted carbohydrates that do not contain gluten</t>
    </r>
  </si>
  <si>
    <r>
      <t>IBU</t>
    </r>
    <r>
      <rPr>
        <sz val="12"/>
        <color rgb="FF383A37"/>
        <rFont val="Georgia"/>
        <family val="1"/>
      </rPr>
      <t>5 - 40</t>
    </r>
  </si>
  <si>
    <r>
      <t>BU:GU</t>
    </r>
    <r>
      <rPr>
        <sz val="12"/>
        <color rgb="FF383A37"/>
        <rFont val="Georgia"/>
        <family val="1"/>
      </rPr>
      <t>0.17 - 0.36</t>
    </r>
  </si>
  <si>
    <r>
      <t>Color</t>
    </r>
    <r>
      <rPr>
        <sz val="12"/>
        <color rgb="FF383A37"/>
        <rFont val="Georgia"/>
        <family val="1"/>
      </rPr>
      <t>Any range of color depending on the underlying style</t>
    </r>
  </si>
  <si>
    <r>
      <t>Hop Aroma/Flavor</t>
    </r>
    <r>
      <rPr>
        <sz val="12"/>
        <color rgb="FF383A37"/>
        <rFont val="Georgia"/>
        <family val="1"/>
      </rPr>
      <t>Hop aroma is not essential, but may be evident at low levels and should not dominate over the herb or spice character</t>
    </r>
  </si>
  <si>
    <r>
      <t>Other ingredients</t>
    </r>
    <r>
      <rPr>
        <sz val="12"/>
        <color rgb="FF383A37"/>
        <rFont val="Georgia"/>
        <family val="1"/>
      </rPr>
      <t>Herbs, Spices</t>
    </r>
  </si>
  <si>
    <r>
      <t>IBU</t>
    </r>
    <r>
      <rPr>
        <sz val="12"/>
        <color rgb="FF383A37"/>
        <rFont val="Georgia"/>
        <family val="1"/>
      </rPr>
      <t>1 - 100</t>
    </r>
  </si>
  <si>
    <r>
      <t>BU:GU</t>
    </r>
    <r>
      <rPr>
        <sz val="12"/>
        <color rgb="FF383A37"/>
        <rFont val="Georgia"/>
        <family val="1"/>
      </rPr>
      <t>0.03 - 0.91</t>
    </r>
  </si>
  <si>
    <r>
      <t>Cheese</t>
    </r>
    <r>
      <rPr>
        <sz val="12"/>
        <color rgb="FF383A37"/>
        <rFont val="Georgia"/>
        <family val="1"/>
      </rPr>
      <t>Ricotta</t>
    </r>
  </si>
  <si>
    <r>
      <t>Entrée</t>
    </r>
    <r>
      <rPr>
        <sz val="12"/>
        <color rgb="FF383A37"/>
        <rFont val="Georgia"/>
        <family val="1"/>
      </rPr>
      <t>Bruschetta</t>
    </r>
  </si>
  <si>
    <r>
      <t>Dessert</t>
    </r>
    <r>
      <rPr>
        <sz val="12"/>
        <color rgb="FF383A37"/>
        <rFont val="Georgia"/>
        <family val="1"/>
      </rPr>
      <t>Lemon Basil Gelato</t>
    </r>
  </si>
  <si>
    <r>
      <t>Hop Aroma/Flavor</t>
    </r>
    <r>
      <rPr>
        <sz val="12"/>
        <color rgb="FF383A37"/>
        <rFont val="Georgia"/>
        <family val="1"/>
      </rPr>
      <t>Hop bitterness is very low to very high, and may be used for highlighting desired characteristics.</t>
    </r>
  </si>
  <si>
    <r>
      <t>Other ingredients</t>
    </r>
    <r>
      <rPr>
        <sz val="12"/>
        <color rgb="FF383A37"/>
        <rFont val="Georgia"/>
        <family val="1"/>
      </rPr>
      <t>Honey</t>
    </r>
  </si>
  <si>
    <r>
      <t>ABV</t>
    </r>
    <r>
      <rPr>
        <sz val="12"/>
        <color rgb="FF383A37"/>
        <rFont val="Georgia"/>
        <family val="1"/>
      </rPr>
      <t>2.3% - 12.0%</t>
    </r>
  </si>
  <si>
    <r>
      <t>IBU</t>
    </r>
    <r>
      <rPr>
        <sz val="12"/>
        <color rgb="FF383A37"/>
        <rFont val="Georgia"/>
        <family val="1"/>
      </rPr>
      <t>5 - 70</t>
    </r>
  </si>
  <si>
    <r>
      <t>Brewing/Conditioning Process</t>
    </r>
    <r>
      <rPr>
        <sz val="12"/>
        <color rgb="FF383A37"/>
        <rFont val="Georgia"/>
        <family val="1"/>
      </rPr>
      <t>Beer brewed with pumpkins (Cucurbito pepo) or winter squash as an adjunct in either the mash, kettle or primary or secondary fermentation, providing obvious (ranging from subtle to intense) yet harmonious qualities</t>
    </r>
  </si>
  <si>
    <r>
      <t>Cheese</t>
    </r>
    <r>
      <rPr>
        <sz val="12"/>
        <color rgb="FF383A37"/>
        <rFont val="Georgia"/>
        <family val="1"/>
      </rPr>
      <t>Camembert</t>
    </r>
  </si>
  <si>
    <r>
      <t>Dessert</t>
    </r>
    <r>
      <rPr>
        <sz val="12"/>
        <color rgb="FF383A37"/>
        <rFont val="Georgia"/>
        <family val="1"/>
      </rPr>
      <t>Coffee Ice Cream</t>
    </r>
  </si>
  <si>
    <r>
      <t>Hop Aroma/Flavor</t>
    </r>
    <r>
      <rPr>
        <sz val="12"/>
        <color rgb="FF383A37"/>
        <rFont val="Georgia"/>
        <family val="1"/>
      </rPr>
      <t>Hop bitterness is low to medium-low</t>
    </r>
  </si>
  <si>
    <r>
      <t>Malt Aroma/Flavor</t>
    </r>
    <r>
      <rPr>
        <sz val="12"/>
        <color rgb="FF383A37"/>
        <rFont val="Georgia"/>
        <family val="1"/>
      </rPr>
      <t>Malt sweetness is low to medium-high</t>
    </r>
  </si>
  <si>
    <r>
      <t>Other ingredients</t>
    </r>
    <r>
      <rPr>
        <sz val="12"/>
        <color rgb="FF383A37"/>
        <rFont val="Georgia"/>
        <family val="1"/>
      </rPr>
      <t>Pumpkin, Squash</t>
    </r>
  </si>
  <si>
    <r>
      <t>Color</t>
    </r>
    <r>
      <rPr>
        <sz val="12"/>
        <color rgb="FF383A37"/>
        <rFont val="Georgia"/>
        <family val="1"/>
      </rPr>
      <t>Inclusion of rye can create a wide range of color. Lighter versions: Straw to Copper. Darker versions: Dark Amber to Dark Brown</t>
    </r>
  </si>
  <si>
    <r>
      <t>Cheese</t>
    </r>
    <r>
      <rPr>
        <sz val="12"/>
        <color rgb="FF383A37"/>
        <rFont val="Georgia"/>
        <family val="1"/>
      </rPr>
      <t>Wensleydale</t>
    </r>
  </si>
  <si>
    <r>
      <t>Entrée</t>
    </r>
    <r>
      <rPr>
        <sz val="12"/>
        <color rgb="FF383A37"/>
        <rFont val="Georgia"/>
        <family val="1"/>
      </rPr>
      <t>Jerk Chicken</t>
    </r>
  </si>
  <si>
    <r>
      <t>Hop Aroma/Flavor</t>
    </r>
    <r>
      <rPr>
        <sz val="12"/>
        <color rgb="FF383A37"/>
        <rFont val="Georgia"/>
        <family val="1"/>
      </rPr>
      <t>Hop flavor and aroma are low to medium-high. Hop bitterness is low to medium</t>
    </r>
  </si>
  <si>
    <r>
      <t>Malt Aroma/Flavor</t>
    </r>
    <r>
      <rPr>
        <sz val="12"/>
        <color rgb="FF383A37"/>
        <rFont val="Georgia"/>
        <family val="1"/>
      </rPr>
      <t>In darker versions, malt aromas can optionally include low roasted malt characters evident as cocoa/chocolate or caramel, and/or aromatic toffee-like, caramel, or biscuit-like characters</t>
    </r>
  </si>
  <si>
    <r>
      <t>Other ingredients</t>
    </r>
    <r>
      <rPr>
        <sz val="12"/>
        <color rgb="FF383A37"/>
        <rFont val="Georgia"/>
        <family val="1"/>
      </rPr>
      <t>Grist should include sufficient rye such that rye character is evident in the beer</t>
    </r>
  </si>
  <si>
    <r>
      <t>Esters</t>
    </r>
    <r>
      <rPr>
        <sz val="12"/>
        <color rgb="FF383A37"/>
        <rFont val="Georgia"/>
        <family val="1"/>
      </rPr>
      <t>Low level fruity-ester flavors are typical</t>
    </r>
  </si>
  <si>
    <r>
      <t>Fermentation Byproducts</t>
    </r>
    <r>
      <rPr>
        <sz val="12"/>
        <color rgb="FF383A37"/>
        <rFont val="Georgia"/>
        <family val="1"/>
      </rPr>
      <t>In versions served with yeast, appearance may range from hazy to very cloudy</t>
    </r>
  </si>
  <si>
    <r>
      <t>OG</t>
    </r>
    <r>
      <rPr>
        <sz val="12"/>
        <color rgb="FF383A37"/>
        <rFont val="Georgia"/>
        <family val="1"/>
      </rPr>
      <t>1.034 - 1.040</t>
    </r>
  </si>
  <si>
    <r>
      <t>ABV</t>
    </r>
    <r>
      <rPr>
        <sz val="12"/>
        <color rgb="FF383A37"/>
        <rFont val="Georgia"/>
        <family val="1"/>
      </rPr>
      <t>4.0% - 5.0%</t>
    </r>
  </si>
  <si>
    <r>
      <t>BU:GU</t>
    </r>
    <r>
      <rPr>
        <sz val="12"/>
        <color rgb="FF383A37"/>
        <rFont val="Georgia"/>
        <family val="1"/>
      </rPr>
      <t>0.29 - 0.87</t>
    </r>
  </si>
  <si>
    <r>
      <t>SRM</t>
    </r>
    <r>
      <rPr>
        <sz val="12"/>
        <color rgb="FF383A37"/>
        <rFont val="Georgia"/>
        <family val="1"/>
      </rPr>
      <t>2+</t>
    </r>
  </si>
  <si>
    <r>
      <t>Glass</t>
    </r>
    <r>
      <rPr>
        <sz val="12"/>
        <color rgb="FF383A37"/>
        <rFont val="Georgia"/>
        <family val="1"/>
      </rPr>
      <t>Varies</t>
    </r>
  </si>
  <si>
    <r>
      <t>Cheese</t>
    </r>
    <r>
      <rPr>
        <sz val="12"/>
        <color rgb="FF383A37"/>
        <rFont val="Georgia"/>
        <family val="1"/>
      </rPr>
      <t>Parmesan</t>
    </r>
  </si>
  <si>
    <r>
      <t>Entrée</t>
    </r>
    <r>
      <rPr>
        <sz val="12"/>
        <color rgb="FF383A37"/>
        <rFont val="Georgia"/>
        <family val="1"/>
      </rPr>
      <t>Grilled Vegetables</t>
    </r>
  </si>
  <si>
    <r>
      <t>Dessert</t>
    </r>
    <r>
      <rPr>
        <sz val="12"/>
        <color rgb="FF383A37"/>
        <rFont val="Georgia"/>
        <family val="1"/>
      </rPr>
      <t>Gingerbread Cookies</t>
    </r>
  </si>
  <si>
    <r>
      <t>OG</t>
    </r>
    <r>
      <rPr>
        <sz val="12"/>
        <color rgb="FF383A37"/>
        <rFont val="Georgia"/>
        <family val="1"/>
      </rPr>
      <t>1.030 - 1.140</t>
    </r>
  </si>
  <si>
    <r>
      <t>ABV</t>
    </r>
    <r>
      <rPr>
        <sz val="12"/>
        <color rgb="FF383A37"/>
        <rFont val="Georgia"/>
        <family val="1"/>
      </rPr>
      <t>2.5% - 25.0+%</t>
    </r>
  </si>
  <si>
    <r>
      <t>Other ingredients</t>
    </r>
    <r>
      <rPr>
        <sz val="12"/>
        <color rgb="FF383A37"/>
        <rFont val="Georgia"/>
        <family val="1"/>
      </rPr>
      <t>Special or unusual ingredients or a combination of ingredients that bump a beer out of the other styles. For example, a "White IPA" is a combination of a Belgian-Style Wit and American IPA. Examples of specialty or unusual ingredients include maple syrup, potatoes, nuts, etc. Some beers use ingredients in unusual ways, such as a chili-flavored beer that emphasize heat rather than chili flavor, or a juniper berry beer in which the juniper is expressed more as herbal or spice qualities than as a berry or fruity character</t>
    </r>
  </si>
  <si>
    <t>0.62 - 0.78</t>
  </si>
  <si>
    <t>BU:GU</t>
  </si>
  <si>
    <t>SRM</t>
  </si>
  <si>
    <t>2 --&gt;2.5</t>
  </si>
  <si>
    <t>69 - 75</t>
  </si>
  <si>
    <t>Co2</t>
  </si>
  <si>
    <t>Pale Ales</t>
  </si>
  <si>
    <t>1.048 - 1.058</t>
  </si>
  <si>
    <t>1.012 - 1.018</t>
  </si>
  <si>
    <t>4.4% - 6.1%</t>
  </si>
  <si>
    <r>
      <t>2</t>
    </r>
    <r>
      <rPr>
        <sz val="12"/>
        <color rgb="FF383A37"/>
        <rFont val="Georgia"/>
        <family val="1"/>
      </rPr>
      <t>5 - 45</t>
    </r>
  </si>
  <si>
    <t>11 --&gt; 18</t>
  </si>
  <si>
    <t>Sucre %</t>
  </si>
  <si>
    <t>FG (refracto):</t>
  </si>
  <si>
    <r>
      <rPr>
        <b/>
        <sz val="12"/>
        <color theme="4" tint="-0.499984740745262"/>
        <rFont val="Calibri (Corps)"/>
      </rPr>
      <t>P°</t>
    </r>
    <r>
      <rPr>
        <b/>
        <sz val="12"/>
        <color theme="1"/>
        <rFont val="Calibri"/>
        <family val="2"/>
        <scheme val="minor"/>
      </rPr>
      <t xml:space="preserve"> / </t>
    </r>
    <r>
      <rPr>
        <b/>
        <sz val="12"/>
        <color theme="9" tint="-0.249977111117893"/>
        <rFont val="Calibri (Corps)"/>
      </rPr>
      <t>C°</t>
    </r>
  </si>
  <si>
    <t>Oui / Non</t>
  </si>
  <si>
    <t>C°</t>
  </si>
  <si>
    <t>Attenuation:</t>
  </si>
  <si>
    <t>Ratio BU:GU</t>
  </si>
  <si>
    <t>Amertume rel.</t>
  </si>
  <si>
    <t>Acide actique:</t>
  </si>
  <si>
    <t>malts grillés plus âcres, moins de corps, amertume moins forte</t>
  </si>
  <si>
    <t>Goût de malt moins prononcé, bière plus sombre qu’attendu, amertume plus agressive</t>
  </si>
  <si>
    <t>Blanche</t>
  </si>
  <si>
    <t>Stout Porter</t>
  </si>
  <si>
    <t>Virgin</t>
  </si>
  <si>
    <t>Milkshake</t>
  </si>
  <si>
    <t>Ambrée</t>
  </si>
  <si>
    <t>Session</t>
  </si>
  <si>
    <t>Blonde</t>
  </si>
  <si>
    <t>OG Réelle</t>
  </si>
  <si>
    <t>Rendement:</t>
  </si>
  <si>
    <t>OG P°</t>
  </si>
  <si>
    <t>Weyermann - Carared</t>
  </si>
  <si>
    <t>Weyermann - Whisky Malt</t>
  </si>
  <si>
    <t>Weyermann - Melanoidin</t>
  </si>
  <si>
    <t>Volume</t>
  </si>
  <si>
    <t>Sucre total</t>
  </si>
  <si>
    <t>sucre/l</t>
  </si>
  <si>
    <t>Volume Co2</t>
  </si>
  <si>
    <t>Co2 g/l</t>
  </si>
  <si>
    <t>Pale Malt Maris Otter</t>
  </si>
  <si>
    <t>UK</t>
  </si>
  <si>
    <t>Temp. ferm.</t>
  </si>
  <si>
    <t>Pression</t>
  </si>
  <si>
    <t>Temp. Bout.</t>
  </si>
  <si>
    <t>Voir les styles</t>
  </si>
  <si>
    <t>Carbonatation</t>
  </si>
  <si>
    <t>Couleur/Robe</t>
  </si>
  <si>
    <t>Nez</t>
  </si>
  <si>
    <t>Bouche</t>
  </si>
  <si>
    <t xml:space="preserve">Learnings: </t>
  </si>
  <si>
    <t>Autre</t>
  </si>
  <si>
    <t>Fruitée</t>
  </si>
  <si>
    <t>Target:</t>
  </si>
  <si>
    <t>Sarrasin</t>
  </si>
  <si>
    <t>Pilsner (2 Row) Distatique</t>
  </si>
  <si>
    <t>Malt:</t>
  </si>
  <si>
    <t>Sucres:</t>
  </si>
  <si>
    <t xml:space="preserve">Eau: </t>
  </si>
  <si>
    <t>Rincage</t>
  </si>
  <si>
    <t>Bicarb. de Soude</t>
  </si>
  <si>
    <t>Chlor. de Calcium</t>
  </si>
  <si>
    <t>Eau normale</t>
  </si>
  <si>
    <t>Eau bouillie</t>
  </si>
  <si>
    <t>Heure</t>
  </si>
  <si>
    <t>Houblons:</t>
  </si>
  <si>
    <t>Ebullition</t>
  </si>
  <si>
    <t>:</t>
  </si>
  <si>
    <t>Honey</t>
  </si>
  <si>
    <t>Vol</t>
  </si>
  <si>
    <t>Suc</t>
  </si>
  <si>
    <t>Après</t>
  </si>
  <si>
    <t>Cible</t>
  </si>
  <si>
    <t>Avant</t>
  </si>
  <si>
    <t>FERM Safbrew - Low Alcool</t>
  </si>
  <si>
    <t>Low Alc Ale</t>
  </si>
  <si>
    <t>Recette:</t>
  </si>
  <si>
    <t>Batch:</t>
  </si>
  <si>
    <t>Motueka</t>
  </si>
  <si>
    <t>Virgin Tropical Serendipity</t>
  </si>
  <si>
    <t>Embouteillé avec:
- 70g de sucre
- 0.5 Acide ascorbique
- 100g brewbody</t>
  </si>
  <si>
    <t>Bière Session avec du malt T50. Houbloné aux houblons Néo Zélandais: Motueka, Nelson Sauvin et Citra. Levure LA-01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</si>
</sst>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43" formatCode="_ * #,##0.00_)_ ;_ * \(#,##0.00\)_ ;_ * &quot;-&quot;??_)_ ;_ @_ "/>
    <numFmt numFmtId="164" formatCode="0.0"/>
    <numFmt numFmtId="165" formatCode="0.000"/>
    <numFmt numFmtId="166" formatCode="0\ \l\i\t\."/>
    <numFmt numFmtId="167" formatCode="0.000&quot; kg.&quot;"/>
    <numFmt numFmtId="168" formatCode="0.0\ \l\i\t\."/>
    <numFmt numFmtId="169" formatCode="0\°"/>
    <numFmt numFmtId="170" formatCode="0&quot; min&quot;"/>
    <numFmt numFmtId="171" formatCode="#&quot; g.&quot;"/>
    <numFmt numFmtId="172" formatCode="0.0%"/>
    <numFmt numFmtId="173" formatCode="0&quot; jours&quot;"/>
    <numFmt numFmtId="174" formatCode="0.0%&quot; ABV&quot;"/>
    <numFmt numFmtId="175" formatCode="0.0&quot; IBU&quot;"/>
    <numFmt numFmtId="176" formatCode="0&quot; g/l&quot;"/>
    <numFmt numFmtId="177" formatCode="0&quot;°&quot;"/>
    <numFmt numFmtId="178" formatCode="_ * #,##0_)_ ;_ * \(#,##0\)_ ;_ * &quot;-&quot;??_)_ ;_ @_ "/>
    <numFmt numFmtId="179" formatCode="0.0000"/>
    <numFmt numFmtId="180" formatCode="0&quot; EBC&quot;"/>
    <numFmt numFmtId="181" formatCode="_ * #,##0.000_)_ ;_ * \(#,##0.000\)_ ;_ * &quot;-&quot;??_)_ ;_ @_ "/>
    <numFmt numFmtId="182" formatCode="#.0&quot; g.&quot;"/>
    <numFmt numFmtId="183" formatCode="[$-100C]d/\ mmmm\ yyyy;@"/>
    <numFmt numFmtId="184" formatCode="0.0&quot; g&quot;"/>
    <numFmt numFmtId="185" formatCode="#&quot; jours&quot;"/>
    <numFmt numFmtId="186" formatCode="dd/mm/yyyy;@"/>
    <numFmt numFmtId="187" formatCode="0&quot; F°&quot;"/>
    <numFmt numFmtId="188" formatCode="0&quot; C°&quot;"/>
    <numFmt numFmtId="189" formatCode="0.00&quot; g/l&quot;"/>
    <numFmt numFmtId="190" formatCode="0.0&quot; mg/l&quot;"/>
    <numFmt numFmtId="191" formatCode="0.00&quot; mEq/L&quot;"/>
    <numFmt numFmtId="192" formatCode="0.0&quot; g.&quot;"/>
    <numFmt numFmtId="193" formatCode="0&quot; ppm&quot;"/>
    <numFmt numFmtId="194" formatCode="_ * #,##0.00_)\ _C_H_F_ ;_ * \(#,##0.00\)\ _C_H_F_ ;_ * &quot;-&quot;??_)\ _C_H_F_ ;_ @_ "/>
    <numFmt numFmtId="195" formatCode="0.0&quot; P°&quot;"/>
    <numFmt numFmtId="196" formatCode="0.000%"/>
    <numFmt numFmtId="197" formatCode="0,000"/>
    <numFmt numFmtId="198" formatCode="&quot;=&quot;_ * #,##0_)_ ;_ * \(#,##0\)_ ;_ * &quot;-&quot;??_)_ ;_ @_ "/>
    <numFmt numFmtId="199" formatCode="&quot;+&quot;\ 0.0%&quot; ABV&quot;"/>
    <numFmt numFmtId="200" formatCode="0.0&quot; bar&quot;"/>
    <numFmt numFmtId="201" formatCode="0.0&quot; lit.&quot;"/>
    <numFmt numFmtId="202" formatCode="General\ &quot;P°&quot;"/>
  </numFmts>
  <fonts count="55">
    <font>
      <sz val="12"/>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i/>
      <sz val="12"/>
      <color theme="1"/>
      <name val="Calibri"/>
      <family val="2"/>
      <scheme val="minor"/>
    </font>
    <font>
      <sz val="14"/>
      <color rgb="FF666666"/>
      <name val="Verdana"/>
      <family val="2"/>
    </font>
    <font>
      <sz val="16"/>
      <color rgb="FF222222"/>
      <name val="Arial"/>
      <family val="2"/>
    </font>
    <font>
      <u/>
      <sz val="12"/>
      <color theme="10"/>
      <name val="Calibri"/>
      <family val="2"/>
      <scheme val="minor"/>
    </font>
    <font>
      <sz val="14"/>
      <color rgb="FF222222"/>
      <name val="Arial"/>
      <family val="2"/>
    </font>
    <font>
      <b/>
      <sz val="18"/>
      <color theme="1"/>
      <name val="Calibri"/>
      <family val="2"/>
      <scheme val="minor"/>
    </font>
    <font>
      <sz val="13"/>
      <color rgb="FF474749"/>
      <name val="Verdana"/>
      <family val="2"/>
    </font>
    <font>
      <b/>
      <sz val="12"/>
      <color theme="0" tint="-0.14999847407452621"/>
      <name val="Calibri"/>
      <family val="2"/>
      <scheme val="minor"/>
    </font>
    <font>
      <b/>
      <sz val="12"/>
      <color theme="1" tint="0.14999847407452621"/>
      <name val="Calibri"/>
      <family val="2"/>
      <scheme val="minor"/>
    </font>
    <font>
      <sz val="12"/>
      <color theme="1"/>
      <name val="Webdings"/>
      <charset val="2"/>
    </font>
    <font>
      <sz val="26"/>
      <color theme="1"/>
      <name val="Calibri"/>
      <family val="2"/>
      <scheme val="minor"/>
    </font>
    <font>
      <sz val="22"/>
      <color theme="1"/>
      <name val="Calibri"/>
      <family val="2"/>
      <scheme val="minor"/>
    </font>
    <font>
      <sz val="12"/>
      <color theme="1"/>
      <name val="Calibri"/>
      <family val="2"/>
    </font>
    <font>
      <sz val="12"/>
      <color theme="1"/>
      <name val="Helvetica Neue Gras"/>
    </font>
    <font>
      <sz val="14"/>
      <color theme="1"/>
      <name val="Helvetica Neue Gras"/>
    </font>
    <font>
      <sz val="12"/>
      <color theme="1"/>
      <name val="American Typewriter"/>
      <family val="1"/>
    </font>
    <font>
      <sz val="9"/>
      <color theme="1"/>
      <name val="American Typewriter"/>
      <family val="1"/>
    </font>
    <font>
      <sz val="8"/>
      <color theme="1"/>
      <name val="American Typewriter"/>
      <family val="1"/>
    </font>
    <font>
      <sz val="6"/>
      <color theme="1"/>
      <name val="American Typewriter"/>
      <family val="1"/>
    </font>
    <font>
      <sz val="22"/>
      <color theme="1"/>
      <name val="American Typewriter Gras"/>
    </font>
    <font>
      <sz val="8"/>
      <color theme="1"/>
      <name val="American Typewriter Condensé fi"/>
    </font>
    <font>
      <sz val="12"/>
      <color rgb="FF000000"/>
      <name val="Calibri"/>
      <family val="2"/>
      <scheme val="minor"/>
    </font>
    <font>
      <sz val="8"/>
      <color rgb="FF818385"/>
      <name val="Helvetica"/>
      <family val="2"/>
    </font>
    <font>
      <b/>
      <sz val="12"/>
      <color theme="1"/>
      <name val="Calibri"/>
      <family val="2"/>
    </font>
    <font>
      <sz val="11"/>
      <name val="Calibri"/>
      <family val="2"/>
      <scheme val="minor"/>
    </font>
    <font>
      <b/>
      <sz val="14"/>
      <color rgb="FF333333"/>
      <name val="Helvetica Neue"/>
      <family val="2"/>
    </font>
    <font>
      <b/>
      <sz val="10"/>
      <color indexed="10"/>
      <name val="Verdana"/>
      <family val="2"/>
    </font>
    <font>
      <sz val="10"/>
      <name val="Arial"/>
      <family val="2"/>
    </font>
    <font>
      <b/>
      <sz val="10"/>
      <name val="Arial"/>
      <family val="2"/>
    </font>
    <font>
      <sz val="10"/>
      <color rgb="FF000000"/>
      <name val="Tahoma"/>
      <family val="2"/>
    </font>
    <font>
      <b/>
      <sz val="10"/>
      <color rgb="FF000000"/>
      <name val="Tahoma"/>
      <family val="2"/>
    </font>
    <font>
      <sz val="10"/>
      <color rgb="FF000000"/>
      <name val="Calibri"/>
      <family val="2"/>
    </font>
    <font>
      <b/>
      <sz val="10"/>
      <color rgb="FF000000"/>
      <name val="Arial"/>
      <family val="2"/>
    </font>
    <font>
      <sz val="10"/>
      <color rgb="FF000000"/>
      <name val="Arial"/>
      <family val="2"/>
    </font>
    <font>
      <sz val="13"/>
      <color rgb="FF000000"/>
      <name val="PT Sans"/>
      <family val="2"/>
      <charset val="204"/>
    </font>
    <font>
      <b/>
      <sz val="12"/>
      <color rgb="FF383A37"/>
      <name val="Arial"/>
      <family val="2"/>
    </font>
    <font>
      <sz val="12"/>
      <color rgb="FF383A37"/>
      <name val="Arial"/>
      <family val="2"/>
    </font>
    <font>
      <b/>
      <sz val="16"/>
      <color theme="1"/>
      <name val="Calibri"/>
      <family val="2"/>
      <scheme val="minor"/>
    </font>
    <font>
      <sz val="12"/>
      <color rgb="FF383A37"/>
      <name val="Georgia"/>
      <family val="1"/>
    </font>
    <font>
      <b/>
      <sz val="12"/>
      <color rgb="FF383A37"/>
      <name val="Georgia"/>
      <family val="1"/>
    </font>
    <font>
      <b/>
      <sz val="12"/>
      <color theme="4" tint="-0.499984740745262"/>
      <name val="Calibri (Corps)"/>
    </font>
    <font>
      <b/>
      <sz val="12"/>
      <color theme="9" tint="-0.249977111117893"/>
      <name val="Calibri (Corps)"/>
    </font>
    <font>
      <sz val="10"/>
      <color rgb="FF222222"/>
      <name val="Arial"/>
      <family val="2"/>
    </font>
    <font>
      <b/>
      <sz val="12"/>
      <color theme="4" tint="-0.499984740745262"/>
      <name val="Calibri"/>
      <family val="2"/>
      <scheme val="minor"/>
    </font>
    <font>
      <sz val="16"/>
      <color theme="1"/>
      <name val="Calibri"/>
      <family val="2"/>
      <scheme val="minor"/>
    </font>
    <font>
      <i/>
      <sz val="10"/>
      <color theme="1"/>
      <name val="Calibri"/>
      <family val="2"/>
      <scheme val="minor"/>
    </font>
    <font>
      <sz val="10"/>
      <color theme="1"/>
      <name val="Calibri"/>
      <family val="2"/>
      <scheme val="minor"/>
    </font>
    <font>
      <b/>
      <sz val="22"/>
      <color theme="1"/>
      <name val="Calibri"/>
      <family val="2"/>
      <scheme val="minor"/>
    </font>
    <font>
      <b/>
      <sz val="12"/>
      <color theme="9" tint="-0.249977111117893"/>
      <name val="Calibri"/>
      <family val="2"/>
      <scheme val="minor"/>
    </font>
    <font>
      <b/>
      <sz val="40"/>
      <color theme="1"/>
      <name val="Calibri"/>
      <family val="2"/>
      <scheme val="minor"/>
    </font>
    <font>
      <i/>
      <sz val="16"/>
      <color theme="1"/>
      <name val="Calibri"/>
      <family val="2"/>
      <scheme val="minor"/>
    </font>
  </fonts>
  <fills count="52">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rgb="FFF3F993"/>
        <bgColor indexed="64"/>
      </patternFill>
    </fill>
    <fill>
      <patternFill patternType="solid">
        <fgColor rgb="FFF5F75C"/>
        <bgColor indexed="64"/>
      </patternFill>
    </fill>
    <fill>
      <patternFill patternType="solid">
        <fgColor rgb="FFF6F513"/>
        <bgColor indexed="64"/>
      </patternFill>
    </fill>
    <fill>
      <patternFill patternType="solid">
        <fgColor rgb="FFEAE615"/>
        <bgColor indexed="64"/>
      </patternFill>
    </fill>
    <fill>
      <patternFill patternType="solid">
        <fgColor rgb="FFE0D01B"/>
        <bgColor indexed="64"/>
      </patternFill>
    </fill>
    <fill>
      <patternFill patternType="solid">
        <fgColor rgb="FFD5BC26"/>
        <bgColor indexed="64"/>
      </patternFill>
    </fill>
    <fill>
      <patternFill patternType="solid">
        <fgColor rgb="FFCDAA37"/>
        <bgColor indexed="64"/>
      </patternFill>
    </fill>
    <fill>
      <patternFill patternType="solid">
        <fgColor rgb="FFC1963C"/>
        <bgColor indexed="64"/>
      </patternFill>
    </fill>
    <fill>
      <patternFill patternType="solid">
        <fgColor rgb="FFBE8C3A"/>
        <bgColor indexed="64"/>
      </patternFill>
    </fill>
    <fill>
      <patternFill patternType="solid">
        <fgColor rgb="FFBE823A"/>
        <bgColor indexed="64"/>
      </patternFill>
    </fill>
    <fill>
      <patternFill patternType="solid">
        <fgColor rgb="FFC17A37"/>
        <bgColor indexed="64"/>
      </patternFill>
    </fill>
    <fill>
      <patternFill patternType="solid">
        <fgColor rgb="FFBF7138"/>
        <bgColor indexed="64"/>
      </patternFill>
    </fill>
    <fill>
      <patternFill patternType="solid">
        <fgColor rgb="FFBC6733"/>
        <bgColor indexed="64"/>
      </patternFill>
    </fill>
    <fill>
      <patternFill patternType="solid">
        <fgColor rgb="FFB26033"/>
        <bgColor indexed="64"/>
      </patternFill>
    </fill>
    <fill>
      <patternFill patternType="solid">
        <fgColor rgb="FFA85839"/>
        <bgColor indexed="64"/>
      </patternFill>
    </fill>
    <fill>
      <patternFill patternType="solid">
        <fgColor rgb="FF985336"/>
        <bgColor indexed="64"/>
      </patternFill>
    </fill>
    <fill>
      <patternFill patternType="solid">
        <fgColor rgb="FF8D4C32"/>
        <bgColor indexed="64"/>
      </patternFill>
    </fill>
    <fill>
      <patternFill patternType="solid">
        <fgColor rgb="FF7C452D"/>
        <bgColor indexed="64"/>
      </patternFill>
    </fill>
    <fill>
      <patternFill patternType="solid">
        <fgColor rgb="FF6B3A1E"/>
        <bgColor indexed="64"/>
      </patternFill>
    </fill>
    <fill>
      <patternFill patternType="solid">
        <fgColor rgb="FF5D341A"/>
        <bgColor indexed="64"/>
      </patternFill>
    </fill>
    <fill>
      <patternFill patternType="solid">
        <fgColor rgb="FF4E2A0C"/>
        <bgColor indexed="64"/>
      </patternFill>
    </fill>
    <fill>
      <patternFill patternType="solid">
        <fgColor rgb="FF4A2727"/>
        <bgColor indexed="64"/>
      </patternFill>
    </fill>
    <fill>
      <patternFill patternType="solid">
        <fgColor rgb="FF361F1B"/>
        <bgColor indexed="64"/>
      </patternFill>
    </fill>
    <fill>
      <patternFill patternType="solid">
        <fgColor rgb="FF261716"/>
        <bgColor indexed="64"/>
      </patternFill>
    </fill>
    <fill>
      <patternFill patternType="solid">
        <fgColor rgb="FF231716"/>
        <bgColor indexed="64"/>
      </patternFill>
    </fill>
    <fill>
      <patternFill patternType="solid">
        <fgColor rgb="FF19100F"/>
        <bgColor indexed="64"/>
      </patternFill>
    </fill>
    <fill>
      <patternFill patternType="solid">
        <fgColor rgb="FF16100F"/>
        <bgColor indexed="64"/>
      </patternFill>
    </fill>
    <fill>
      <patternFill patternType="solid">
        <fgColor rgb="FF120D0C"/>
        <bgColor indexed="64"/>
      </patternFill>
    </fill>
    <fill>
      <patternFill patternType="solid">
        <fgColor rgb="FF100B0A"/>
        <bgColor indexed="64"/>
      </patternFill>
    </fill>
    <fill>
      <patternFill patternType="solid">
        <fgColor rgb="FF050B0A"/>
        <bgColor indexed="64"/>
      </patternFill>
    </fill>
    <fill>
      <patternFill patternType="solid">
        <fgColor rgb="FFB4C6E7"/>
        <bgColor rgb="FF000000"/>
      </patternFill>
    </fill>
    <fill>
      <patternFill patternType="solid">
        <fgColor theme="4" tint="0.59999389629810485"/>
        <bgColor rgb="FF000000"/>
      </patternFill>
    </fill>
    <fill>
      <patternFill patternType="solid">
        <fgColor theme="0"/>
        <bgColor rgb="FF000000"/>
      </patternFill>
    </fill>
    <fill>
      <patternFill patternType="solid">
        <fgColor theme="2"/>
        <bgColor indexed="64"/>
      </patternFill>
    </fill>
    <fill>
      <patternFill patternType="solid">
        <fgColor theme="5" tint="0.59999389629810485"/>
        <bgColor indexed="64"/>
      </patternFill>
    </fill>
    <fill>
      <patternFill patternType="solid">
        <fgColor indexed="46"/>
        <bgColor indexed="64"/>
      </patternFill>
    </fill>
    <fill>
      <patternFill patternType="solid">
        <fgColor theme="9" tint="0.39997558519241921"/>
        <bgColor indexed="64"/>
      </patternFill>
    </fill>
    <fill>
      <patternFill patternType="solid">
        <fgColor rgb="FFC00000"/>
        <bgColor indexed="64"/>
      </patternFill>
    </fill>
    <fill>
      <patternFill patternType="solid">
        <fgColor theme="1" tint="4.9989318521683403E-2"/>
        <bgColor indexed="64"/>
      </patternFill>
    </fill>
    <fill>
      <patternFill patternType="solid">
        <fgColor rgb="FF68B2FF"/>
        <bgColor indexed="64"/>
      </patternFill>
    </fill>
    <fill>
      <patternFill patternType="solid">
        <fgColor rgb="FFA6A6A6"/>
        <bgColor indexed="64"/>
      </patternFill>
    </fill>
    <fill>
      <patternFill patternType="solid">
        <fgColor rgb="FFD4AF37"/>
        <bgColor indexed="64"/>
      </patternFill>
    </fill>
    <fill>
      <patternFill patternType="solid">
        <fgColor rgb="FF23177F"/>
        <bgColor indexed="64"/>
      </patternFill>
    </fill>
    <fill>
      <patternFill patternType="solid">
        <fgColor rgb="FF375623"/>
        <bgColor indexed="64"/>
      </patternFill>
    </fill>
    <fill>
      <patternFill patternType="solid">
        <fgColor theme="7" tint="0.79998168889431442"/>
        <bgColor indexed="64"/>
      </patternFill>
    </fill>
    <fill>
      <patternFill patternType="solid">
        <fgColor theme="7" tint="0.79998168889431442"/>
        <bgColor rgb="FF000000"/>
      </patternFill>
    </fill>
    <fill>
      <patternFill patternType="solid">
        <fgColor rgb="FFDC6228"/>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hair">
        <color theme="2"/>
      </left>
      <right style="thin">
        <color indexed="64"/>
      </right>
      <top style="hair">
        <color theme="2"/>
      </top>
      <bottom/>
      <diagonal/>
    </border>
    <border>
      <left/>
      <right/>
      <top style="hair">
        <color theme="2"/>
      </top>
      <bottom/>
      <diagonal/>
    </border>
    <border>
      <left style="hair">
        <color theme="2"/>
      </left>
      <right style="thin">
        <color indexed="64"/>
      </right>
      <top/>
      <bottom/>
      <diagonal/>
    </border>
    <border>
      <left style="hair">
        <color theme="2"/>
      </left>
      <right style="thin">
        <color indexed="64"/>
      </right>
      <top/>
      <bottom style="hair">
        <color theme="2"/>
      </bottom>
      <diagonal/>
    </border>
    <border>
      <left/>
      <right/>
      <top/>
      <bottom style="hair">
        <color theme="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cellStyleXfs>
  <cellXfs count="1127">
    <xf numFmtId="0" fontId="0" fillId="0" borderId="0" xfId="0"/>
    <xf numFmtId="0" fontId="0" fillId="0" borderId="0" xfId="0"/>
    <xf numFmtId="0" fontId="0" fillId="3" borderId="0" xfId="0" applyFill="1"/>
    <xf numFmtId="0" fontId="0" fillId="0" borderId="11" xfId="0" applyBorder="1"/>
    <xf numFmtId="0" fontId="0" fillId="0" borderId="8" xfId="0" applyBorder="1"/>
    <xf numFmtId="0" fontId="0" fillId="3" borderId="0" xfId="0" applyFill="1" applyBorder="1"/>
    <xf numFmtId="0" fontId="0" fillId="3" borderId="0" xfId="0" applyFill="1" applyAlignment="1">
      <alignment horizontal="center"/>
    </xf>
    <xf numFmtId="14" fontId="0" fillId="2" borderId="1" xfId="0" applyNumberFormat="1" applyFill="1" applyBorder="1" applyAlignment="1" applyProtection="1">
      <alignment horizontal="center"/>
      <protection locked="0"/>
    </xf>
    <xf numFmtId="164" fontId="0" fillId="2" borderId="1" xfId="0" applyNumberFormat="1" applyFill="1" applyBorder="1" applyAlignment="1" applyProtection="1">
      <alignment horizontal="center"/>
      <protection locked="0"/>
    </xf>
    <xf numFmtId="165" fontId="0" fillId="2" borderId="1" xfId="0" applyNumberFormat="1" applyFill="1" applyBorder="1" applyAlignment="1" applyProtection="1">
      <alignment horizontal="center"/>
      <protection locked="0"/>
    </xf>
    <xf numFmtId="167" fontId="0" fillId="2" borderId="1" xfId="0" applyNumberFormat="1" applyFill="1" applyBorder="1" applyProtection="1">
      <protection locked="0"/>
    </xf>
    <xf numFmtId="165" fontId="0" fillId="2" borderId="1" xfId="0" applyNumberFormat="1" applyFill="1" applyBorder="1" applyProtection="1">
      <protection locked="0"/>
    </xf>
    <xf numFmtId="172" fontId="0" fillId="2" borderId="1" xfId="2" applyNumberFormat="1" applyFont="1" applyFill="1" applyBorder="1" applyAlignment="1" applyProtection="1">
      <alignment horizontal="center"/>
      <protection locked="0"/>
    </xf>
    <xf numFmtId="0" fontId="0" fillId="3" borderId="31" xfId="0" applyFill="1" applyBorder="1"/>
    <xf numFmtId="0" fontId="0" fillId="3" borderId="32" xfId="0" applyFill="1" applyBorder="1"/>
    <xf numFmtId="0" fontId="0" fillId="3" borderId="4" xfId="0" applyFill="1" applyBorder="1"/>
    <xf numFmtId="0" fontId="15" fillId="3" borderId="0" xfId="0" applyFont="1" applyFill="1"/>
    <xf numFmtId="0" fontId="0" fillId="3" borderId="38" xfId="0" applyFill="1" applyBorder="1"/>
    <xf numFmtId="0" fontId="17" fillId="3" borderId="0" xfId="0" applyFont="1" applyFill="1" applyBorder="1"/>
    <xf numFmtId="0" fontId="19" fillId="3" borderId="0" xfId="0" applyFont="1" applyFill="1" applyBorder="1"/>
    <xf numFmtId="0" fontId="20" fillId="3" borderId="0" xfId="0" applyFont="1" applyFill="1" applyBorder="1"/>
    <xf numFmtId="0" fontId="24" fillId="3" borderId="0" xfId="0" applyFont="1" applyFill="1" applyBorder="1" applyAlignment="1">
      <alignment vertical="center" wrapText="1" shrinkToFit="1"/>
    </xf>
    <xf numFmtId="0" fontId="22" fillId="3" borderId="0" xfId="0" applyFont="1" applyFill="1" applyBorder="1" applyAlignment="1">
      <alignment horizontal="center" vertical="center"/>
    </xf>
    <xf numFmtId="0" fontId="0" fillId="3" borderId="41" xfId="0" applyFill="1" applyBorder="1"/>
    <xf numFmtId="0" fontId="20" fillId="3" borderId="0" xfId="0" applyFont="1" applyFill="1" applyBorder="1" applyProtection="1">
      <protection locked="0"/>
    </xf>
    <xf numFmtId="0" fontId="24" fillId="3" borderId="0" xfId="0" applyFont="1" applyFill="1" applyBorder="1" applyAlignment="1" applyProtection="1">
      <alignment vertical="center" wrapText="1" shrinkToFit="1"/>
      <protection locked="0"/>
    </xf>
    <xf numFmtId="0" fontId="0" fillId="0" borderId="0" xfId="0" applyFill="1"/>
    <xf numFmtId="0" fontId="0" fillId="0" borderId="19" xfId="0" applyFill="1" applyBorder="1"/>
    <xf numFmtId="0" fontId="0" fillId="0" borderId="1" xfId="0" applyFill="1" applyBorder="1"/>
    <xf numFmtId="9" fontId="0" fillId="0" borderId="1" xfId="2" applyFont="1" applyFill="1" applyBorder="1"/>
    <xf numFmtId="177" fontId="0" fillId="0" borderId="1" xfId="0" applyNumberFormat="1" applyFill="1" applyBorder="1"/>
    <xf numFmtId="177" fontId="0" fillId="0" borderId="20" xfId="0" applyNumberFormat="1" applyFill="1" applyBorder="1"/>
    <xf numFmtId="0" fontId="0" fillId="0" borderId="20" xfId="0" applyFill="1" applyBorder="1"/>
    <xf numFmtId="0" fontId="7" fillId="0" borderId="19" xfId="3" applyFill="1" applyBorder="1"/>
    <xf numFmtId="178" fontId="0" fillId="0" borderId="1" xfId="1" applyNumberFormat="1" applyFont="1" applyFill="1" applyBorder="1"/>
    <xf numFmtId="0" fontId="7" fillId="0" borderId="9" xfId="3" applyFill="1" applyBorder="1"/>
    <xf numFmtId="0" fontId="0" fillId="0" borderId="10" xfId="0" applyFill="1" applyBorder="1"/>
    <xf numFmtId="9" fontId="0" fillId="0" borderId="10" xfId="2" applyFont="1" applyFill="1" applyBorder="1"/>
    <xf numFmtId="177" fontId="0" fillId="0" borderId="10" xfId="0" applyNumberFormat="1" applyFill="1" applyBorder="1"/>
    <xf numFmtId="177" fontId="0" fillId="0" borderId="11" xfId="0" applyNumberFormat="1" applyFill="1" applyBorder="1"/>
    <xf numFmtId="1" fontId="6" fillId="0" borderId="0" xfId="0" applyNumberFormat="1" applyFont="1" applyFill="1"/>
    <xf numFmtId="179" fontId="6" fillId="0" borderId="0" xfId="0" applyNumberFormat="1" applyFont="1" applyFill="1"/>
    <xf numFmtId="178" fontId="0" fillId="0" borderId="10" xfId="1" applyNumberFormat="1" applyFont="1" applyFill="1" applyBorder="1"/>
    <xf numFmtId="0" fontId="0" fillId="0" borderId="11" xfId="0" applyFill="1" applyBorder="1"/>
    <xf numFmtId="0" fontId="5" fillId="0" borderId="0" xfId="0" applyFont="1" applyFill="1"/>
    <xf numFmtId="0" fontId="6" fillId="0" borderId="0" xfId="0" applyFont="1" applyFill="1"/>
    <xf numFmtId="0" fontId="2" fillId="0" borderId="7" xfId="0" applyFont="1" applyFill="1" applyBorder="1" applyAlignment="1">
      <alignment horizontal="center"/>
    </xf>
    <xf numFmtId="9" fontId="2" fillId="0" borderId="7" xfId="2" applyFont="1" applyFill="1" applyBorder="1" applyAlignment="1">
      <alignment horizontal="center"/>
    </xf>
    <xf numFmtId="0" fontId="2" fillId="0" borderId="8" xfId="0" applyFont="1" applyFill="1" applyBorder="1" applyAlignment="1">
      <alignment horizontal="center"/>
    </xf>
    <xf numFmtId="0" fontId="0" fillId="0" borderId="0" xfId="0" applyFill="1" applyAlignment="1">
      <alignment horizontal="center"/>
    </xf>
    <xf numFmtId="0" fontId="3" fillId="0" borderId="6" xfId="0" applyFont="1" applyFill="1" applyBorder="1" applyAlignment="1">
      <alignment horizontal="left"/>
    </xf>
    <xf numFmtId="0" fontId="0" fillId="0" borderId="0" xfId="0" applyAlignment="1">
      <alignment horizontal="center"/>
    </xf>
    <xf numFmtId="169" fontId="0" fillId="2" borderId="1" xfId="0" applyNumberFormat="1" applyFill="1" applyBorder="1" applyAlignment="1" applyProtection="1">
      <alignment horizontal="center"/>
      <protection locked="0"/>
    </xf>
    <xf numFmtId="170" fontId="0" fillId="2" borderId="20" xfId="0" applyNumberFormat="1" applyFill="1" applyBorder="1" applyAlignment="1" applyProtection="1">
      <alignment horizontal="center"/>
      <protection locked="0"/>
    </xf>
    <xf numFmtId="0" fontId="0" fillId="2" borderId="1" xfId="0" applyFill="1" applyBorder="1" applyProtection="1">
      <protection locked="0"/>
    </xf>
    <xf numFmtId="0" fontId="0" fillId="3" borderId="0" xfId="0" applyFill="1"/>
    <xf numFmtId="0" fontId="26" fillId="0" borderId="0" xfId="0" applyFont="1"/>
    <xf numFmtId="166" fontId="0" fillId="2" borderId="46" xfId="0" applyNumberFormat="1" applyFill="1" applyBorder="1" applyAlignment="1" applyProtection="1">
      <alignment horizontal="center"/>
      <protection locked="0"/>
    </xf>
    <xf numFmtId="0" fontId="27" fillId="3" borderId="6" xfId="0" applyFont="1" applyFill="1" applyBorder="1" applyAlignment="1">
      <alignment horizontal="center"/>
    </xf>
    <xf numFmtId="0" fontId="27" fillId="3" borderId="7" xfId="0" applyFont="1" applyFill="1" applyBorder="1" applyAlignment="1">
      <alignment horizontal="center"/>
    </xf>
    <xf numFmtId="0" fontId="27" fillId="3" borderId="8" xfId="0" applyFont="1" applyFill="1" applyBorder="1" applyAlignment="1">
      <alignment horizontal="center"/>
    </xf>
    <xf numFmtId="0" fontId="16" fillId="3" borderId="19" xfId="0" applyFont="1" applyFill="1" applyBorder="1" applyAlignment="1">
      <alignment horizontal="center"/>
    </xf>
    <xf numFmtId="0" fontId="16" fillId="3" borderId="1" xfId="0" applyFont="1" applyFill="1" applyBorder="1" applyAlignment="1">
      <alignment horizontal="center"/>
    </xf>
    <xf numFmtId="0" fontId="16" fillId="3" borderId="20" xfId="0" applyFont="1" applyFill="1" applyBorder="1" applyAlignment="1">
      <alignment horizontal="center"/>
    </xf>
    <xf numFmtId="0" fontId="16" fillId="3" borderId="9" xfId="0" applyFont="1" applyFill="1" applyBorder="1" applyAlignment="1">
      <alignment horizontal="center"/>
    </xf>
    <xf numFmtId="0" fontId="16" fillId="3" borderId="10" xfId="0" applyFont="1" applyFill="1" applyBorder="1" applyAlignment="1">
      <alignment horizontal="center"/>
    </xf>
    <xf numFmtId="0" fontId="16" fillId="3" borderId="11" xfId="0" applyFont="1" applyFill="1" applyBorder="1" applyAlignment="1">
      <alignment horizontal="center"/>
    </xf>
    <xf numFmtId="166" fontId="0" fillId="3" borderId="0" xfId="0" applyNumberFormat="1" applyFill="1" applyBorder="1" applyAlignment="1" applyProtection="1">
      <alignment horizontal="center"/>
      <protection locked="0"/>
    </xf>
    <xf numFmtId="0" fontId="2" fillId="3" borderId="0" xfId="0" applyFont="1" applyFill="1" applyBorder="1" applyAlignment="1">
      <alignment horizontal="left"/>
    </xf>
    <xf numFmtId="167" fontId="0" fillId="3" borderId="0" xfId="0" applyNumberFormat="1" applyFill="1" applyBorder="1" applyProtection="1">
      <protection locked="0"/>
    </xf>
    <xf numFmtId="0" fontId="25" fillId="36" borderId="1" xfId="0" applyFont="1" applyFill="1" applyBorder="1" applyAlignment="1" applyProtection="1">
      <protection locked="0"/>
    </xf>
    <xf numFmtId="172" fontId="0" fillId="2" borderId="10" xfId="2" applyNumberFormat="1" applyFont="1" applyFill="1" applyBorder="1" applyAlignment="1" applyProtection="1">
      <alignment horizontal="center"/>
      <protection locked="0"/>
    </xf>
    <xf numFmtId="182" fontId="25" fillId="35" borderId="1" xfId="0" applyNumberFormat="1" applyFont="1" applyFill="1" applyBorder="1" applyAlignment="1" applyProtection="1">
      <alignment horizontal="center"/>
      <protection locked="0"/>
    </xf>
    <xf numFmtId="182" fontId="25" fillId="36" borderId="1" xfId="0" applyNumberFormat="1" applyFont="1" applyFill="1" applyBorder="1" applyAlignment="1" applyProtection="1">
      <alignment horizontal="center"/>
      <protection locked="0"/>
    </xf>
    <xf numFmtId="182" fontId="25" fillId="36" borderId="10" xfId="0" applyNumberFormat="1" applyFont="1" applyFill="1" applyBorder="1" applyAlignment="1" applyProtection="1">
      <alignment horizontal="center"/>
      <protection locked="0"/>
    </xf>
    <xf numFmtId="0" fontId="2" fillId="0" borderId="19" xfId="0" applyFont="1" applyBorder="1" applyAlignment="1" applyProtection="1">
      <alignment horizontal="center" vertical="center"/>
    </xf>
    <xf numFmtId="164" fontId="0" fillId="0" borderId="19" xfId="0" applyNumberFormat="1" applyBorder="1" applyAlignment="1" applyProtection="1">
      <alignment horizontal="center"/>
    </xf>
    <xf numFmtId="0" fontId="2" fillId="2" borderId="1" xfId="0" applyFont="1" applyFill="1" applyBorder="1" applyAlignment="1" applyProtection="1">
      <alignment horizontal="center"/>
      <protection locked="0"/>
    </xf>
    <xf numFmtId="167" fontId="0" fillId="2" borderId="1" xfId="0" applyNumberFormat="1" applyFill="1" applyBorder="1" applyAlignment="1" applyProtection="1">
      <alignment horizontal="center"/>
      <protection locked="0"/>
    </xf>
    <xf numFmtId="182" fontId="25" fillId="35" borderId="10" xfId="0" applyNumberFormat="1" applyFont="1" applyFill="1" applyBorder="1" applyAlignment="1" applyProtection="1">
      <alignment horizontal="center"/>
      <protection locked="0"/>
    </xf>
    <xf numFmtId="0" fontId="0" fillId="3" borderId="18" xfId="0" quotePrefix="1" applyFill="1" applyBorder="1" applyAlignment="1">
      <alignment horizontal="center" vertical="center"/>
    </xf>
    <xf numFmtId="0" fontId="0" fillId="3" borderId="44" xfId="0" quotePrefix="1" applyFill="1" applyBorder="1" applyAlignment="1">
      <alignment horizontal="center" vertical="center"/>
    </xf>
    <xf numFmtId="0" fontId="0" fillId="3" borderId="45" xfId="0" quotePrefix="1" applyFill="1" applyBorder="1" applyAlignment="1">
      <alignment horizontal="center" vertical="center"/>
    </xf>
    <xf numFmtId="167" fontId="0" fillId="3" borderId="0" xfId="0" applyNumberFormat="1" applyFill="1" applyBorder="1" applyAlignment="1" applyProtection="1">
      <alignment horizontal="center"/>
      <protection locked="0"/>
    </xf>
    <xf numFmtId="0" fontId="2" fillId="3" borderId="24" xfId="0" applyFont="1" applyFill="1" applyBorder="1" applyAlignment="1">
      <alignment horizontal="center"/>
    </xf>
    <xf numFmtId="182" fontId="2" fillId="3" borderId="25" xfId="0" applyNumberFormat="1" applyFont="1" applyFill="1" applyBorder="1" applyAlignment="1">
      <alignment horizontal="center"/>
    </xf>
    <xf numFmtId="0" fontId="2" fillId="3" borderId="43" xfId="0" applyFont="1" applyFill="1" applyBorder="1" applyAlignment="1">
      <alignment horizontal="center"/>
    </xf>
    <xf numFmtId="0" fontId="2" fillId="3" borderId="6" xfId="0" applyFont="1" applyFill="1" applyBorder="1" applyAlignment="1">
      <alignment horizontal="left"/>
    </xf>
    <xf numFmtId="0" fontId="2" fillId="3" borderId="7" xfId="0" applyFont="1" applyFill="1" applyBorder="1" applyAlignment="1">
      <alignment horizontal="center"/>
    </xf>
    <xf numFmtId="0" fontId="2" fillId="3" borderId="8" xfId="0" applyFont="1" applyFill="1" applyBorder="1" applyAlignment="1">
      <alignment horizontal="center"/>
    </xf>
    <xf numFmtId="182" fontId="25" fillId="37" borderId="19" xfId="0" applyNumberFormat="1" applyFont="1" applyFill="1" applyBorder="1" applyAlignment="1" applyProtection="1">
      <alignment horizontal="center"/>
      <protection locked="0"/>
    </xf>
    <xf numFmtId="182" fontId="25" fillId="37" borderId="1" xfId="0" applyNumberFormat="1" applyFont="1" applyFill="1" applyBorder="1" applyAlignment="1" applyProtection="1">
      <alignment horizontal="center"/>
      <protection locked="0"/>
    </xf>
    <xf numFmtId="182" fontId="25" fillId="37" borderId="20" xfId="0" applyNumberFormat="1" applyFont="1" applyFill="1" applyBorder="1" applyAlignment="1" applyProtection="1">
      <alignment horizontal="center"/>
      <protection locked="0"/>
    </xf>
    <xf numFmtId="182" fontId="25" fillId="37" borderId="9" xfId="0" applyNumberFormat="1" applyFont="1" applyFill="1" applyBorder="1" applyAlignment="1" applyProtection="1">
      <alignment horizontal="center"/>
      <protection locked="0"/>
    </xf>
    <xf numFmtId="182" fontId="25" fillId="37" borderId="10" xfId="0" applyNumberFormat="1" applyFont="1" applyFill="1" applyBorder="1" applyAlignment="1" applyProtection="1">
      <alignment horizontal="center"/>
      <protection locked="0"/>
    </xf>
    <xf numFmtId="182" fontId="25" fillId="37" borderId="11" xfId="0" applyNumberFormat="1" applyFont="1" applyFill="1" applyBorder="1" applyAlignment="1" applyProtection="1">
      <alignment horizontal="center"/>
      <protection locked="0"/>
    </xf>
    <xf numFmtId="0" fontId="0" fillId="2" borderId="10" xfId="0" applyFill="1" applyBorder="1" applyProtection="1">
      <protection locked="0"/>
    </xf>
    <xf numFmtId="167" fontId="0" fillId="3" borderId="20" xfId="0" applyNumberFormat="1" applyFill="1" applyBorder="1" applyAlignment="1" applyProtection="1">
      <alignment horizontal="center"/>
      <protection locked="0"/>
    </xf>
    <xf numFmtId="182" fontId="25" fillId="37" borderId="2" xfId="0" applyNumberFormat="1" applyFont="1" applyFill="1" applyBorder="1" applyAlignment="1" applyProtection="1">
      <alignment horizontal="center"/>
      <protection locked="0"/>
    </xf>
    <xf numFmtId="182" fontId="25" fillId="37" borderId="30" xfId="0" applyNumberFormat="1" applyFont="1" applyFill="1" applyBorder="1" applyAlignment="1" applyProtection="1">
      <alignment horizontal="center"/>
      <protection locked="0"/>
    </xf>
    <xf numFmtId="166" fontId="0" fillId="3" borderId="46" xfId="0" applyNumberFormat="1" applyFill="1" applyBorder="1" applyAlignment="1" applyProtection="1">
      <alignment horizontal="center"/>
    </xf>
    <xf numFmtId="0" fontId="0" fillId="0" borderId="1" xfId="0" applyBorder="1"/>
    <xf numFmtId="0" fontId="2" fillId="3" borderId="50" xfId="0" applyFont="1" applyFill="1" applyBorder="1" applyProtection="1"/>
    <xf numFmtId="182" fontId="0" fillId="0" borderId="0" xfId="0" applyNumberFormat="1" applyFill="1" applyBorder="1" applyAlignment="1" applyProtection="1">
      <alignment horizontal="center"/>
    </xf>
    <xf numFmtId="0" fontId="3" fillId="0" borderId="6" xfId="0" applyFont="1" applyBorder="1" applyAlignment="1">
      <alignment horizontal="left"/>
    </xf>
    <xf numFmtId="43" fontId="0" fillId="0" borderId="1" xfId="1" applyFont="1" applyFill="1" applyBorder="1"/>
    <xf numFmtId="0" fontId="0" fillId="3" borderId="0" xfId="0" applyFill="1"/>
    <xf numFmtId="0" fontId="0" fillId="2" borderId="7" xfId="0" applyFill="1" applyBorder="1" applyAlignment="1" applyProtection="1">
      <alignment horizontal="left" indent="1"/>
      <protection locked="0"/>
    </xf>
    <xf numFmtId="0" fontId="0" fillId="3" borderId="27" xfId="0" applyFill="1" applyBorder="1" applyAlignment="1">
      <alignment horizontal="right" indent="1"/>
    </xf>
    <xf numFmtId="183" fontId="0" fillId="3" borderId="25" xfId="0" applyNumberFormat="1" applyFill="1" applyBorder="1" applyAlignment="1">
      <alignment horizontal="left" indent="1"/>
    </xf>
    <xf numFmtId="9" fontId="0" fillId="0" borderId="1" xfId="0" applyNumberFormat="1" applyFill="1" applyBorder="1"/>
    <xf numFmtId="168" fontId="0" fillId="3" borderId="56" xfId="0" applyNumberFormat="1" applyFill="1" applyBorder="1" applyAlignment="1" applyProtection="1"/>
    <xf numFmtId="168" fontId="0" fillId="2" borderId="9" xfId="0" applyNumberFormat="1" applyFill="1" applyBorder="1" applyProtection="1">
      <protection locked="0"/>
    </xf>
    <xf numFmtId="0" fontId="0" fillId="0" borderId="1" xfId="0" applyBorder="1"/>
    <xf numFmtId="0" fontId="2" fillId="0" borderId="26" xfId="0" applyFont="1" applyBorder="1" applyAlignment="1" applyProtection="1">
      <alignment horizontal="center"/>
    </xf>
    <xf numFmtId="182" fontId="25" fillId="35" borderId="2" xfId="0" applyNumberFormat="1" applyFont="1" applyFill="1" applyBorder="1" applyAlignment="1" applyProtection="1">
      <alignment horizontal="center"/>
      <protection locked="0"/>
    </xf>
    <xf numFmtId="182" fontId="25" fillId="36" borderId="2" xfId="0" applyNumberFormat="1" applyFont="1" applyFill="1" applyBorder="1" applyAlignment="1" applyProtection="1">
      <alignment horizontal="center"/>
      <protection locked="0"/>
    </xf>
    <xf numFmtId="164" fontId="0" fillId="0" borderId="1" xfId="0" applyNumberFormat="1" applyFill="1" applyBorder="1" applyAlignment="1" applyProtection="1">
      <alignment horizontal="center"/>
    </xf>
    <xf numFmtId="164" fontId="0" fillId="0" borderId="20" xfId="0" applyNumberFormat="1" applyFill="1" applyBorder="1" applyAlignment="1" applyProtection="1">
      <alignment horizontal="center"/>
    </xf>
    <xf numFmtId="172" fontId="0" fillId="0" borderId="1" xfId="0" applyNumberFormat="1" applyFill="1" applyBorder="1"/>
    <xf numFmtId="187" fontId="0" fillId="2" borderId="9" xfId="0" applyNumberFormat="1" applyFill="1" applyBorder="1" applyAlignment="1" applyProtection="1">
      <alignment horizontal="right"/>
      <protection locked="0"/>
    </xf>
    <xf numFmtId="0" fontId="28" fillId="38" borderId="0" xfId="0" applyFont="1" applyFill="1"/>
    <xf numFmtId="0" fontId="28" fillId="0" borderId="0" xfId="0" applyFont="1"/>
    <xf numFmtId="0" fontId="29" fillId="0" borderId="0" xfId="0" applyFont="1"/>
    <xf numFmtId="0" fontId="2" fillId="3" borderId="20" xfId="0" applyFont="1" applyFill="1" applyBorder="1" applyAlignment="1" applyProtection="1">
      <alignment horizontal="center" vertical="center"/>
    </xf>
    <xf numFmtId="0" fontId="0" fillId="0" borderId="20" xfId="0" applyBorder="1"/>
    <xf numFmtId="0" fontId="0" fillId="0" borderId="0" xfId="0"/>
    <xf numFmtId="0" fontId="30" fillId="0" borderId="0" xfId="0" applyFont="1"/>
    <xf numFmtId="0" fontId="31" fillId="0" borderId="1" xfId="0" applyFont="1" applyBorder="1" applyAlignment="1">
      <alignment horizontal="center" vertical="center"/>
    </xf>
    <xf numFmtId="49" fontId="32" fillId="40" borderId="1" xfId="0" applyNumberFormat="1" applyFont="1" applyFill="1" applyBorder="1" applyAlignment="1">
      <alignment horizontal="center" vertical="center" wrapText="1"/>
    </xf>
    <xf numFmtId="49" fontId="32" fillId="40" borderId="0" xfId="0" applyNumberFormat="1" applyFont="1" applyFill="1" applyAlignment="1">
      <alignment horizontal="center" vertical="center" wrapText="1"/>
    </xf>
    <xf numFmtId="49" fontId="32" fillId="0" borderId="0" xfId="0" applyNumberFormat="1" applyFont="1" applyAlignment="1">
      <alignment horizontal="center"/>
    </xf>
    <xf numFmtId="49" fontId="32" fillId="0" borderId="0" xfId="0" applyNumberFormat="1" applyFont="1" applyAlignment="1">
      <alignment horizontal="center" vertical="center"/>
    </xf>
    <xf numFmtId="0" fontId="32" fillId="0" borderId="0" xfId="0" applyFont="1" applyAlignment="1">
      <alignment vertical="center"/>
    </xf>
    <xf numFmtId="0" fontId="31" fillId="0" borderId="1" xfId="0" applyFont="1" applyBorder="1" applyAlignment="1">
      <alignment horizontal="left" vertical="center"/>
    </xf>
    <xf numFmtId="2" fontId="31" fillId="40" borderId="1" xfId="0" applyNumberFormat="1" applyFont="1" applyFill="1" applyBorder="1" applyAlignment="1">
      <alignment horizontal="center" vertical="center"/>
    </xf>
    <xf numFmtId="2" fontId="31" fillId="40" borderId="0" xfId="0" applyNumberFormat="1" applyFont="1" applyFill="1" applyAlignment="1">
      <alignment horizontal="center" vertical="center"/>
    </xf>
    <xf numFmtId="2" fontId="31" fillId="0" borderId="0" xfId="0" applyNumberFormat="1" applyFont="1" applyAlignment="1">
      <alignment horizontal="center"/>
    </xf>
    <xf numFmtId="2" fontId="31" fillId="0" borderId="0" xfId="0" applyNumberFormat="1" applyFont="1" applyAlignment="1">
      <alignment horizontal="center" vertical="center"/>
    </xf>
    <xf numFmtId="2" fontId="31" fillId="0" borderId="0" xfId="0" applyNumberFormat="1" applyFont="1" applyAlignment="1">
      <alignment vertical="center"/>
    </xf>
    <xf numFmtId="190" fontId="0" fillId="2" borderId="6" xfId="0" applyNumberFormat="1" applyFill="1" applyBorder="1" applyAlignment="1" applyProtection="1">
      <alignment horizontal="center"/>
      <protection locked="0"/>
    </xf>
    <xf numFmtId="190" fontId="0" fillId="2" borderId="7" xfId="0" applyNumberFormat="1" applyFill="1" applyBorder="1" applyAlignment="1" applyProtection="1">
      <alignment horizontal="center"/>
      <protection locked="0"/>
    </xf>
    <xf numFmtId="168" fontId="0" fillId="2" borderId="6" xfId="0" applyNumberFormat="1" applyFill="1" applyBorder="1" applyProtection="1">
      <protection locked="0"/>
    </xf>
    <xf numFmtId="0" fontId="0" fillId="0" borderId="6" xfId="0" applyFill="1" applyBorder="1"/>
    <xf numFmtId="0" fontId="0" fillId="0" borderId="8" xfId="0" applyFill="1" applyBorder="1"/>
    <xf numFmtId="0" fontId="0" fillId="0" borderId="9" xfId="0" applyFill="1" applyBorder="1"/>
    <xf numFmtId="0" fontId="0" fillId="0" borderId="20" xfId="0" applyFont="1" applyFill="1" applyBorder="1" applyAlignment="1">
      <alignment horizontal="center"/>
    </xf>
    <xf numFmtId="0" fontId="0" fillId="0" borderId="1" xfId="0" applyFont="1" applyFill="1" applyBorder="1" applyAlignment="1">
      <alignment horizontal="center"/>
    </xf>
    <xf numFmtId="0" fontId="0" fillId="0" borderId="1" xfId="0" applyFill="1" applyBorder="1" applyAlignment="1">
      <alignment horizontal="center"/>
    </xf>
    <xf numFmtId="0" fontId="0" fillId="0" borderId="19" xfId="0" applyBorder="1" applyAlignment="1"/>
    <xf numFmtId="0" fontId="0" fillId="0" borderId="9" xfId="0" applyBorder="1" applyAlignment="1"/>
    <xf numFmtId="0" fontId="0" fillId="0" borderId="10" xfId="0" applyFill="1" applyBorder="1" applyAlignment="1">
      <alignment horizontal="center"/>
    </xf>
    <xf numFmtId="0" fontId="0" fillId="0" borderId="11" xfId="0" applyFont="1" applyFill="1" applyBorder="1" applyAlignment="1">
      <alignment horizontal="center"/>
    </xf>
    <xf numFmtId="190" fontId="0" fillId="2" borderId="26" xfId="0" applyNumberFormat="1" applyFill="1" applyBorder="1" applyAlignment="1" applyProtection="1">
      <alignment horizontal="center"/>
      <protection locked="0"/>
    </xf>
    <xf numFmtId="0" fontId="2" fillId="0" borderId="6" xfId="0" applyFont="1" applyBorder="1" applyAlignment="1" applyProtection="1">
      <alignment horizontal="right"/>
    </xf>
    <xf numFmtId="0" fontId="0" fillId="0" borderId="0" xfId="0" applyProtection="1"/>
    <xf numFmtId="0" fontId="2" fillId="0" borderId="19" xfId="0" applyFont="1" applyBorder="1" applyAlignment="1" applyProtection="1">
      <alignment horizontal="right"/>
    </xf>
    <xf numFmtId="175" fontId="0" fillId="0" borderId="10" xfId="0" applyNumberFormat="1" applyBorder="1" applyAlignment="1" applyProtection="1">
      <alignment horizontal="center"/>
    </xf>
    <xf numFmtId="0" fontId="2" fillId="0" borderId="9" xfId="0" applyFont="1" applyBorder="1" applyAlignment="1" applyProtection="1">
      <alignment horizontal="right"/>
    </xf>
    <xf numFmtId="165" fontId="0" fillId="3" borderId="1" xfId="0" applyNumberFormat="1" applyFill="1" applyBorder="1" applyAlignment="1" applyProtection="1">
      <alignment horizontal="center"/>
    </xf>
    <xf numFmtId="0" fontId="0" fillId="3" borderId="20" xfId="0" applyFill="1" applyBorder="1" applyProtection="1"/>
    <xf numFmtId="0" fontId="0" fillId="0" borderId="6" xfId="0" applyBorder="1" applyProtection="1"/>
    <xf numFmtId="173" fontId="0" fillId="0" borderId="1" xfId="0" applyNumberFormat="1" applyBorder="1" applyAlignment="1" applyProtection="1">
      <alignment horizontal="center"/>
    </xf>
    <xf numFmtId="172" fontId="0" fillId="3" borderId="1" xfId="2" applyNumberFormat="1" applyFont="1" applyFill="1" applyBorder="1" applyAlignment="1" applyProtection="1">
      <alignment horizontal="center"/>
    </xf>
    <xf numFmtId="0" fontId="0" fillId="3" borderId="1" xfId="0" applyFill="1" applyBorder="1" applyAlignment="1" applyProtection="1">
      <alignment horizontal="center"/>
    </xf>
    <xf numFmtId="1" fontId="0" fillId="3" borderId="1" xfId="0" applyNumberFormat="1" applyFill="1" applyBorder="1" applyAlignment="1" applyProtection="1">
      <alignment horizontal="center"/>
    </xf>
    <xf numFmtId="2" fontId="0" fillId="3" borderId="10" xfId="0" applyNumberFormat="1" applyFill="1" applyBorder="1" applyAlignment="1" applyProtection="1">
      <alignment horizontal="center"/>
    </xf>
    <xf numFmtId="2" fontId="0" fillId="3" borderId="1" xfId="0" applyNumberFormat="1" applyFill="1" applyBorder="1" applyProtection="1"/>
    <xf numFmtId="0" fontId="0" fillId="3" borderId="20" xfId="0" applyFill="1" applyBorder="1" applyAlignment="1" applyProtection="1">
      <alignment horizontal="left"/>
    </xf>
    <xf numFmtId="172" fontId="0" fillId="3" borderId="0" xfId="2" applyNumberFormat="1" applyFont="1" applyFill="1" applyProtection="1"/>
    <xf numFmtId="188" fontId="0" fillId="3" borderId="10" xfId="0" applyNumberFormat="1" applyFill="1" applyBorder="1" applyAlignment="1" applyProtection="1">
      <alignment horizontal="center"/>
    </xf>
    <xf numFmtId="2" fontId="0" fillId="3" borderId="10" xfId="0" applyNumberFormat="1" applyFill="1" applyBorder="1" applyProtection="1"/>
    <xf numFmtId="0" fontId="0" fillId="3" borderId="11" xfId="0" applyFill="1" applyBorder="1" applyProtection="1"/>
    <xf numFmtId="187" fontId="0" fillId="3" borderId="0" xfId="0" applyNumberFormat="1" applyFill="1" applyBorder="1" applyAlignment="1" applyProtection="1">
      <alignment horizontal="right"/>
    </xf>
    <xf numFmtId="188" fontId="0" fillId="3" borderId="0" xfId="0" applyNumberFormat="1" applyFill="1" applyBorder="1" applyAlignment="1" applyProtection="1">
      <alignment horizontal="center"/>
    </xf>
    <xf numFmtId="2" fontId="0" fillId="3" borderId="0" xfId="0" applyNumberFormat="1" applyFill="1" applyBorder="1" applyProtection="1"/>
    <xf numFmtId="0" fontId="3" fillId="3" borderId="0" xfId="0" applyFont="1" applyFill="1" applyProtection="1"/>
    <xf numFmtId="0" fontId="0" fillId="3" borderId="12" xfId="0" applyFill="1" applyBorder="1" applyProtection="1"/>
    <xf numFmtId="0" fontId="0" fillId="3" borderId="13" xfId="0" applyFill="1" applyBorder="1" applyProtection="1"/>
    <xf numFmtId="0" fontId="8" fillId="3" borderId="13" xfId="0" applyFont="1" applyFill="1" applyBorder="1" applyProtection="1"/>
    <xf numFmtId="0" fontId="0" fillId="3" borderId="13" xfId="0" applyFont="1" applyFill="1" applyBorder="1" applyAlignment="1" applyProtection="1">
      <alignment vertical="center"/>
    </xf>
    <xf numFmtId="0" fontId="0" fillId="0" borderId="13" xfId="0" applyFont="1" applyBorder="1" applyAlignment="1" applyProtection="1">
      <alignment vertical="center"/>
    </xf>
    <xf numFmtId="0" fontId="0" fillId="3" borderId="28" xfId="0" applyFill="1" applyBorder="1" applyProtection="1"/>
    <xf numFmtId="0" fontId="14" fillId="3" borderId="0" xfId="0" applyFont="1" applyFill="1" applyBorder="1" applyAlignment="1" applyProtection="1">
      <alignment horizontal="right" vertical="center"/>
    </xf>
    <xf numFmtId="1" fontId="0" fillId="0" borderId="0" xfId="0" applyNumberFormat="1" applyFont="1" applyBorder="1" applyAlignment="1" applyProtection="1">
      <alignment horizontal="right" vertical="center"/>
    </xf>
    <xf numFmtId="0" fontId="12" fillId="5" borderId="0" xfId="0" applyFont="1" applyFill="1" applyBorder="1" applyAlignment="1" applyProtection="1">
      <alignment horizontal="center"/>
    </xf>
    <xf numFmtId="0" fontId="0" fillId="4" borderId="10" xfId="0" applyFill="1" applyBorder="1" applyAlignment="1" applyProtection="1">
      <alignment horizontal="center"/>
    </xf>
    <xf numFmtId="9" fontId="0" fillId="4" borderId="10" xfId="2" applyFont="1" applyFill="1" applyBorder="1" applyAlignment="1" applyProtection="1">
      <alignment horizontal="center"/>
    </xf>
    <xf numFmtId="177" fontId="0" fillId="4" borderId="11" xfId="0" applyNumberFormat="1" applyFill="1" applyBorder="1" applyAlignment="1" applyProtection="1">
      <alignment horizontal="center"/>
    </xf>
    <xf numFmtId="0" fontId="12" fillId="6" borderId="0" xfId="0" applyFont="1" applyFill="1" applyBorder="1" applyAlignment="1" applyProtection="1">
      <alignment horizontal="center"/>
    </xf>
    <xf numFmtId="0" fontId="12" fillId="7" borderId="0" xfId="0" applyFont="1" applyFill="1" applyBorder="1" applyAlignment="1" applyProtection="1">
      <alignment horizontal="center"/>
    </xf>
    <xf numFmtId="0" fontId="12" fillId="8" borderId="0" xfId="0" applyFont="1" applyFill="1" applyBorder="1" applyAlignment="1" applyProtection="1">
      <alignment horizontal="center"/>
    </xf>
    <xf numFmtId="2" fontId="0" fillId="0" borderId="1" xfId="0" applyNumberFormat="1" applyBorder="1" applyAlignment="1" applyProtection="1">
      <alignment horizontal="center"/>
    </xf>
    <xf numFmtId="0" fontId="12" fillId="9" borderId="0" xfId="0" applyFont="1" applyFill="1" applyBorder="1" applyAlignment="1" applyProtection="1">
      <alignment horizontal="center"/>
    </xf>
    <xf numFmtId="0" fontId="12" fillId="10" borderId="0" xfId="0" applyFont="1" applyFill="1" applyBorder="1" applyAlignment="1" applyProtection="1">
      <alignment horizontal="center"/>
    </xf>
    <xf numFmtId="0" fontId="12" fillId="11" borderId="0" xfId="0" applyFont="1" applyFill="1" applyBorder="1" applyAlignment="1" applyProtection="1">
      <alignment horizontal="center"/>
    </xf>
    <xf numFmtId="0" fontId="12" fillId="12" borderId="0" xfId="0" applyFont="1" applyFill="1" applyBorder="1" applyAlignment="1" applyProtection="1">
      <alignment horizontal="center"/>
    </xf>
    <xf numFmtId="0" fontId="12" fillId="13" borderId="0" xfId="0" applyFont="1" applyFill="1" applyBorder="1" applyAlignment="1" applyProtection="1">
      <alignment horizontal="center"/>
    </xf>
    <xf numFmtId="0" fontId="12" fillId="14" borderId="0" xfId="0" applyFont="1" applyFill="1" applyBorder="1" applyAlignment="1" applyProtection="1">
      <alignment horizontal="center"/>
    </xf>
    <xf numFmtId="0" fontId="12" fillId="15" borderId="0" xfId="0" applyFont="1" applyFill="1" applyBorder="1" applyAlignment="1" applyProtection="1">
      <alignment horizontal="center"/>
    </xf>
    <xf numFmtId="0" fontId="12" fillId="16" borderId="0" xfId="0" applyFont="1" applyFill="1" applyBorder="1" applyAlignment="1" applyProtection="1">
      <alignment horizontal="center"/>
    </xf>
    <xf numFmtId="0" fontId="12" fillId="17" borderId="0" xfId="0" applyFont="1" applyFill="1" applyBorder="1" applyAlignment="1" applyProtection="1">
      <alignment horizontal="center"/>
    </xf>
    <xf numFmtId="0" fontId="12" fillId="18" borderId="0" xfId="0" applyFont="1" applyFill="1" applyBorder="1" applyAlignment="1" applyProtection="1">
      <alignment horizontal="center"/>
    </xf>
    <xf numFmtId="0" fontId="11" fillId="19" borderId="0" xfId="0" applyFont="1" applyFill="1" applyBorder="1" applyAlignment="1" applyProtection="1">
      <alignment horizontal="center"/>
    </xf>
    <xf numFmtId="0" fontId="11" fillId="20" borderId="0" xfId="0" applyFont="1" applyFill="1" applyBorder="1" applyAlignment="1" applyProtection="1">
      <alignment horizontal="center"/>
    </xf>
    <xf numFmtId="0" fontId="11" fillId="21" borderId="0" xfId="0" applyFont="1" applyFill="1" applyBorder="1" applyAlignment="1" applyProtection="1">
      <alignment horizontal="center"/>
    </xf>
    <xf numFmtId="172" fontId="0" fillId="3" borderId="0" xfId="2" applyNumberFormat="1" applyFont="1" applyFill="1" applyBorder="1" applyProtection="1"/>
    <xf numFmtId="0" fontId="11" fillId="22" borderId="0" xfId="0" applyFont="1" applyFill="1" applyBorder="1" applyAlignment="1" applyProtection="1">
      <alignment horizontal="center"/>
    </xf>
    <xf numFmtId="0" fontId="11" fillId="23" borderId="0" xfId="0" applyFont="1" applyFill="1" applyBorder="1" applyAlignment="1" applyProtection="1">
      <alignment horizontal="center"/>
    </xf>
    <xf numFmtId="167" fontId="2" fillId="0" borderId="1" xfId="0" applyNumberFormat="1" applyFont="1" applyFill="1" applyBorder="1" applyProtection="1"/>
    <xf numFmtId="9" fontId="2" fillId="3" borderId="1" xfId="2" applyFont="1" applyFill="1" applyBorder="1" applyAlignment="1" applyProtection="1">
      <alignment horizontal="center"/>
    </xf>
    <xf numFmtId="10" fontId="0" fillId="3" borderId="0" xfId="2" applyNumberFormat="1" applyFont="1" applyFill="1" applyBorder="1" applyProtection="1"/>
    <xf numFmtId="0" fontId="11" fillId="24" borderId="0" xfId="0" applyFont="1" applyFill="1" applyBorder="1" applyAlignment="1" applyProtection="1">
      <alignment horizontal="center"/>
    </xf>
    <xf numFmtId="0" fontId="11" fillId="25" borderId="0" xfId="0" applyFont="1" applyFill="1" applyBorder="1" applyAlignment="1" applyProtection="1">
      <alignment horizontal="center"/>
    </xf>
    <xf numFmtId="0" fontId="11" fillId="26" borderId="0" xfId="0" applyFont="1" applyFill="1" applyBorder="1" applyAlignment="1" applyProtection="1">
      <alignment horizontal="center"/>
    </xf>
    <xf numFmtId="0" fontId="11" fillId="27" borderId="0" xfId="0" applyFont="1" applyFill="1" applyBorder="1" applyAlignment="1" applyProtection="1">
      <alignment horizontal="center"/>
    </xf>
    <xf numFmtId="0" fontId="11" fillId="28" borderId="0" xfId="0" applyFont="1" applyFill="1" applyBorder="1" applyAlignment="1" applyProtection="1">
      <alignment horizontal="center"/>
    </xf>
    <xf numFmtId="0" fontId="11" fillId="29" borderId="0" xfId="0" applyFont="1" applyFill="1" applyBorder="1" applyAlignment="1" applyProtection="1">
      <alignment horizontal="center"/>
    </xf>
    <xf numFmtId="0" fontId="11" fillId="30" borderId="0" xfId="0" applyFont="1" applyFill="1" applyBorder="1" applyAlignment="1" applyProtection="1">
      <alignment horizontal="center"/>
    </xf>
    <xf numFmtId="167" fontId="2" fillId="0" borderId="10" xfId="0" applyNumberFormat="1" applyFont="1" applyFill="1" applyBorder="1" applyProtection="1"/>
    <xf numFmtId="0" fontId="11" fillId="31" borderId="0" xfId="0" applyFont="1" applyFill="1" applyBorder="1" applyAlignment="1" applyProtection="1">
      <alignment horizontal="center"/>
    </xf>
    <xf numFmtId="0" fontId="11" fillId="32" borderId="0" xfId="0" applyFont="1" applyFill="1" applyBorder="1" applyAlignment="1" applyProtection="1">
      <alignment horizontal="center"/>
    </xf>
    <xf numFmtId="165" fontId="0" fillId="3" borderId="0" xfId="0" applyNumberFormat="1" applyFill="1" applyProtection="1"/>
    <xf numFmtId="181" fontId="0" fillId="3" borderId="0" xfId="1" applyNumberFormat="1" applyFont="1" applyFill="1" applyProtection="1"/>
    <xf numFmtId="43" fontId="0" fillId="3" borderId="0" xfId="1" applyFont="1" applyFill="1" applyProtection="1"/>
    <xf numFmtId="0" fontId="0" fillId="3" borderId="0" xfId="0" applyFill="1" applyAlignment="1" applyProtection="1">
      <alignment horizontal="center"/>
    </xf>
    <xf numFmtId="0" fontId="11" fillId="33" borderId="0" xfId="0" applyFont="1" applyFill="1" applyBorder="1" applyAlignment="1" applyProtection="1">
      <alignment horizontal="center"/>
    </xf>
    <xf numFmtId="0" fontId="3" fillId="3" borderId="0" xfId="0" applyFont="1" applyFill="1" applyAlignment="1" applyProtection="1"/>
    <xf numFmtId="0" fontId="14" fillId="3" borderId="0" xfId="0" applyFont="1" applyFill="1" applyAlignment="1" applyProtection="1">
      <alignment horizontal="right" vertical="center"/>
    </xf>
    <xf numFmtId="0" fontId="11" fillId="34" borderId="0" xfId="0" applyFont="1" applyFill="1" applyBorder="1" applyAlignment="1" applyProtection="1">
      <alignment horizontal="center"/>
    </xf>
    <xf numFmtId="0" fontId="0" fillId="3" borderId="15" xfId="0" applyFill="1" applyBorder="1" applyProtection="1"/>
    <xf numFmtId="0" fontId="0" fillId="3" borderId="16" xfId="0" applyFill="1" applyBorder="1" applyProtection="1"/>
    <xf numFmtId="0" fontId="2" fillId="3" borderId="16" xfId="0" applyFont="1" applyFill="1" applyBorder="1" applyProtection="1"/>
    <xf numFmtId="166" fontId="2" fillId="0" borderId="21" xfId="0" applyNumberFormat="1" applyFont="1" applyFill="1" applyBorder="1" applyAlignment="1" applyProtection="1">
      <alignment horizontal="right"/>
    </xf>
    <xf numFmtId="169" fontId="0" fillId="0" borderId="32" xfId="0" applyNumberFormat="1" applyBorder="1" applyAlignment="1" applyProtection="1">
      <alignment horizontal="left" indent="1"/>
    </xf>
    <xf numFmtId="169" fontId="0" fillId="0" borderId="8" xfId="0" applyNumberFormat="1" applyBorder="1" applyAlignment="1" applyProtection="1">
      <alignment horizontal="center"/>
    </xf>
    <xf numFmtId="168" fontId="0" fillId="4" borderId="7" xfId="0" applyNumberFormat="1" applyFill="1" applyBorder="1" applyProtection="1"/>
    <xf numFmtId="168" fontId="0" fillId="4" borderId="8" xfId="0" applyNumberFormat="1" applyFill="1" applyBorder="1" applyProtection="1"/>
    <xf numFmtId="1" fontId="0" fillId="3" borderId="0" xfId="0" applyNumberFormat="1" applyFont="1" applyFill="1" applyBorder="1" applyAlignment="1" applyProtection="1">
      <alignment horizontal="right" vertical="center"/>
    </xf>
    <xf numFmtId="0" fontId="11" fillId="3" borderId="0" xfId="0" applyFont="1" applyFill="1" applyBorder="1" applyAlignment="1" applyProtection="1">
      <alignment horizontal="center"/>
    </xf>
    <xf numFmtId="166" fontId="2" fillId="0" borderId="53" xfId="0" applyNumberFormat="1" applyFont="1" applyFill="1" applyBorder="1" applyAlignment="1" applyProtection="1">
      <alignment horizontal="right"/>
    </xf>
    <xf numFmtId="168" fontId="0" fillId="3" borderId="9" xfId="0" applyNumberFormat="1" applyFill="1" applyBorder="1" applyProtection="1"/>
    <xf numFmtId="0" fontId="0" fillId="0" borderId="51" xfId="0" applyBorder="1" applyAlignment="1" applyProtection="1">
      <alignment horizontal="left" indent="1"/>
    </xf>
    <xf numFmtId="0" fontId="0" fillId="0" borderId="11" xfId="0" applyBorder="1" applyAlignment="1" applyProtection="1">
      <alignment horizontal="center"/>
    </xf>
    <xf numFmtId="0" fontId="4" fillId="4" borderId="10" xfId="0" quotePrefix="1" applyFont="1" applyFill="1" applyBorder="1" applyAlignment="1" applyProtection="1">
      <alignment horizontal="center"/>
    </xf>
    <xf numFmtId="0" fontId="4" fillId="4" borderId="11" xfId="0" quotePrefix="1" applyFont="1" applyFill="1" applyBorder="1" applyAlignment="1" applyProtection="1">
      <alignment horizontal="center"/>
    </xf>
    <xf numFmtId="0" fontId="0" fillId="3" borderId="6" xfId="0" applyFill="1" applyBorder="1" applyAlignment="1" applyProtection="1">
      <alignment horizontal="center" vertical="center"/>
    </xf>
    <xf numFmtId="0" fontId="0" fillId="3" borderId="7" xfId="0" applyFill="1" applyBorder="1" applyAlignment="1" applyProtection="1">
      <alignment horizontal="center" vertical="center"/>
    </xf>
    <xf numFmtId="0" fontId="0" fillId="3" borderId="13" xfId="0" applyFill="1" applyBorder="1" applyAlignment="1" applyProtection="1"/>
    <xf numFmtId="0" fontId="14" fillId="3" borderId="13" xfId="0" applyFont="1" applyFill="1" applyBorder="1" applyAlignment="1" applyProtection="1">
      <alignment horizontal="left" vertical="center"/>
    </xf>
    <xf numFmtId="0" fontId="0" fillId="3" borderId="14" xfId="0" applyFill="1" applyBorder="1" applyProtection="1"/>
    <xf numFmtId="0" fontId="2" fillId="3" borderId="1" xfId="0" applyFont="1" applyFill="1" applyBorder="1" applyAlignment="1" applyProtection="1">
      <alignment horizontal="center" vertical="center"/>
    </xf>
    <xf numFmtId="191" fontId="0" fillId="3" borderId="0" xfId="0" applyNumberFormat="1" applyFill="1" applyBorder="1" applyAlignment="1" applyProtection="1"/>
    <xf numFmtId="193" fontId="0" fillId="3" borderId="0" xfId="0" applyNumberFormat="1" applyFill="1" applyBorder="1" applyAlignment="1" applyProtection="1">
      <alignment horizontal="left" vertical="center" indent="1"/>
    </xf>
    <xf numFmtId="0" fontId="0" fillId="3" borderId="29" xfId="0" applyFill="1" applyBorder="1" applyProtection="1"/>
    <xf numFmtId="0" fontId="2" fillId="3" borderId="0" xfId="0" applyFont="1" applyFill="1" applyBorder="1" applyAlignment="1" applyProtection="1"/>
    <xf numFmtId="0" fontId="0" fillId="3" borderId="9" xfId="0" applyFill="1" applyBorder="1" applyAlignment="1" applyProtection="1">
      <alignment horizontal="center" vertical="center"/>
    </xf>
    <xf numFmtId="0" fontId="0" fillId="3" borderId="10" xfId="0" applyFill="1" applyBorder="1" applyAlignment="1" applyProtection="1">
      <alignment horizontal="center" vertical="center"/>
    </xf>
    <xf numFmtId="0" fontId="0" fillId="3" borderId="19" xfId="0" applyFill="1" applyBorder="1" applyAlignment="1" applyProtection="1">
      <alignment horizontal="center"/>
    </xf>
    <xf numFmtId="0" fontId="0" fillId="3" borderId="2" xfId="0" applyFill="1" applyBorder="1" applyAlignment="1" applyProtection="1">
      <alignment horizontal="center"/>
    </xf>
    <xf numFmtId="168" fontId="2" fillId="3" borderId="0" xfId="0" quotePrefix="1" applyNumberFormat="1" applyFont="1" applyFill="1" applyBorder="1" applyAlignment="1" applyProtection="1">
      <alignment horizontal="right"/>
    </xf>
    <xf numFmtId="164" fontId="0" fillId="39" borderId="60" xfId="0" applyNumberFormat="1" applyFill="1" applyBorder="1" applyAlignment="1" applyProtection="1">
      <alignment horizontal="center"/>
    </xf>
    <xf numFmtId="164" fontId="0" fillId="3" borderId="44" xfId="0" applyNumberFormat="1" applyFill="1" applyBorder="1" applyAlignment="1" applyProtection="1">
      <alignment horizontal="center"/>
    </xf>
    <xf numFmtId="164" fontId="0" fillId="39" borderId="44" xfId="0" applyNumberFormat="1" applyFill="1" applyBorder="1" applyAlignment="1" applyProtection="1">
      <alignment horizontal="center"/>
    </xf>
    <xf numFmtId="164" fontId="0" fillId="3" borderId="31" xfId="0" applyNumberFormat="1" applyFill="1" applyBorder="1" applyAlignment="1" applyProtection="1">
      <alignment horizontal="center"/>
    </xf>
    <xf numFmtId="0" fontId="4" fillId="3" borderId="29" xfId="0" quotePrefix="1" applyFont="1" applyFill="1" applyBorder="1" applyAlignment="1" applyProtection="1">
      <alignment horizontal="left"/>
    </xf>
    <xf numFmtId="164" fontId="0" fillId="3" borderId="60" xfId="0" applyNumberFormat="1" applyFill="1" applyBorder="1" applyAlignment="1" applyProtection="1">
      <alignment horizontal="center"/>
    </xf>
    <xf numFmtId="164" fontId="0" fillId="0" borderId="60" xfId="0" applyNumberFormat="1" applyBorder="1" applyAlignment="1" applyProtection="1">
      <alignment horizontal="center"/>
    </xf>
    <xf numFmtId="0" fontId="0" fillId="3" borderId="0" xfId="0" applyFill="1" applyAlignment="1" applyProtection="1"/>
    <xf numFmtId="164" fontId="0" fillId="39" borderId="31" xfId="0" applyNumberFormat="1" applyFill="1" applyBorder="1" applyAlignment="1" applyProtection="1">
      <alignment horizontal="center"/>
    </xf>
    <xf numFmtId="164" fontId="0" fillId="39" borderId="50" xfId="0" applyNumberFormat="1" applyFill="1" applyBorder="1" applyAlignment="1" applyProtection="1">
      <alignment horizontal="center"/>
    </xf>
    <xf numFmtId="164" fontId="0" fillId="3" borderId="49" xfId="0" applyNumberFormat="1" applyFill="1" applyBorder="1" applyAlignment="1" applyProtection="1">
      <alignment horizontal="center"/>
    </xf>
    <xf numFmtId="164" fontId="0" fillId="39" borderId="35" xfId="0" applyNumberFormat="1" applyFill="1" applyBorder="1" applyAlignment="1" applyProtection="1">
      <alignment horizontal="center"/>
    </xf>
    <xf numFmtId="0" fontId="2" fillId="3" borderId="0" xfId="0" applyFont="1" applyFill="1" applyBorder="1" applyAlignment="1" applyProtection="1">
      <alignment horizontal="right"/>
    </xf>
    <xf numFmtId="2" fontId="0" fillId="2" borderId="24" xfId="0" applyNumberFormat="1" applyFill="1" applyBorder="1" applyAlignment="1" applyProtection="1">
      <alignment horizontal="center"/>
    </xf>
    <xf numFmtId="2" fontId="0" fillId="2" borderId="27" xfId="0" applyNumberFormat="1" applyFill="1" applyBorder="1" applyAlignment="1" applyProtection="1">
      <alignment horizontal="center"/>
    </xf>
    <xf numFmtId="2" fontId="0" fillId="2" borderId="55" xfId="0" applyNumberFormat="1" applyFill="1" applyBorder="1" applyAlignment="1" applyProtection="1">
      <alignment horizontal="center"/>
    </xf>
    <xf numFmtId="0" fontId="2" fillId="3" borderId="0" xfId="0" applyFont="1" applyFill="1" applyBorder="1" applyAlignment="1" applyProtection="1">
      <alignment vertical="top"/>
    </xf>
    <xf numFmtId="0" fontId="2" fillId="3" borderId="0" xfId="0" applyFont="1" applyFill="1" applyAlignment="1" applyProtection="1">
      <alignment horizontal="center"/>
    </xf>
    <xf numFmtId="0" fontId="2" fillId="3" borderId="42" xfId="0" applyFont="1" applyFill="1" applyBorder="1" applyProtection="1"/>
    <xf numFmtId="0" fontId="0" fillId="3" borderId="27" xfId="0" applyFill="1" applyBorder="1" applyAlignment="1" applyProtection="1">
      <alignment horizontal="center"/>
    </xf>
    <xf numFmtId="0" fontId="0" fillId="3" borderId="0" xfId="0" applyFont="1" applyFill="1" applyBorder="1" applyAlignment="1" applyProtection="1">
      <alignment horizontal="center"/>
    </xf>
    <xf numFmtId="0" fontId="4" fillId="3" borderId="0" xfId="0" quotePrefix="1" applyFont="1" applyFill="1" applyBorder="1" applyAlignment="1" applyProtection="1">
      <alignment wrapText="1"/>
    </xf>
    <xf numFmtId="0" fontId="3" fillId="3" borderId="16" xfId="0" applyFont="1" applyFill="1" applyBorder="1" applyAlignment="1" applyProtection="1"/>
    <xf numFmtId="0" fontId="0" fillId="0" borderId="7" xfId="0" applyBorder="1" applyProtection="1"/>
    <xf numFmtId="0" fontId="0" fillId="0" borderId="8" xfId="0" applyBorder="1" applyProtection="1"/>
    <xf numFmtId="0" fontId="0" fillId="3" borderId="0" xfId="0" applyFill="1" applyBorder="1" applyAlignment="1" applyProtection="1">
      <alignment vertical="top"/>
    </xf>
    <xf numFmtId="0" fontId="0" fillId="3" borderId="0" xfId="0" applyFill="1" applyBorder="1" applyAlignment="1" applyProtection="1">
      <alignment vertical="top" wrapText="1"/>
    </xf>
    <xf numFmtId="168" fontId="0" fillId="3" borderId="0" xfId="0" applyNumberFormat="1" applyFill="1" applyProtection="1"/>
    <xf numFmtId="170" fontId="0" fillId="0" borderId="11" xfId="0" applyNumberFormat="1" applyBorder="1" applyProtection="1"/>
    <xf numFmtId="0" fontId="2" fillId="0" borderId="7" xfId="0" applyFont="1" applyBorder="1" applyAlignment="1" applyProtection="1">
      <alignment horizontal="right"/>
    </xf>
    <xf numFmtId="0" fontId="2" fillId="0" borderId="10" xfId="0" applyFont="1" applyBorder="1" applyAlignment="1" applyProtection="1">
      <alignment horizontal="right"/>
    </xf>
    <xf numFmtId="0" fontId="0" fillId="0" borderId="0" xfId="0" applyFill="1" applyBorder="1" applyProtection="1"/>
    <xf numFmtId="0" fontId="0" fillId="0" borderId="0" xfId="0" applyFill="1" applyBorder="1" applyAlignment="1" applyProtection="1">
      <alignment horizontal="left" indent="1"/>
    </xf>
    <xf numFmtId="172" fontId="0" fillId="0" borderId="0" xfId="2" applyNumberFormat="1" applyFont="1" applyFill="1" applyBorder="1" applyAlignment="1" applyProtection="1">
      <alignment horizontal="center"/>
    </xf>
    <xf numFmtId="182" fontId="25" fillId="0" borderId="0" xfId="0" applyNumberFormat="1" applyFont="1" applyFill="1" applyBorder="1" applyAlignment="1" applyProtection="1">
      <alignment horizontal="center"/>
    </xf>
    <xf numFmtId="0" fontId="0" fillId="0" borderId="0" xfId="0" applyFill="1" applyBorder="1" applyAlignment="1" applyProtection="1"/>
    <xf numFmtId="182" fontId="25" fillId="0" borderId="0" xfId="0" applyNumberFormat="1" applyFont="1" applyFill="1" applyBorder="1" applyAlignment="1" applyProtection="1"/>
    <xf numFmtId="171" fontId="0" fillId="0" borderId="0" xfId="0" applyNumberFormat="1" applyFill="1" applyBorder="1" applyAlignment="1" applyProtection="1">
      <alignment horizontal="center"/>
    </xf>
    <xf numFmtId="176" fontId="0" fillId="4" borderId="24" xfId="0" applyNumberFormat="1" applyFill="1" applyBorder="1" applyAlignment="1" applyProtection="1">
      <alignment horizontal="center"/>
    </xf>
    <xf numFmtId="176" fontId="0" fillId="4" borderId="27" xfId="0" applyNumberFormat="1" applyFill="1" applyBorder="1" applyAlignment="1" applyProtection="1">
      <alignment horizontal="center"/>
    </xf>
    <xf numFmtId="176" fontId="0" fillId="4" borderId="55" xfId="0" applyNumberFormat="1" applyFill="1" applyBorder="1" applyAlignment="1" applyProtection="1">
      <alignment horizontal="center"/>
    </xf>
    <xf numFmtId="182" fontId="25" fillId="3" borderId="0" xfId="0" applyNumberFormat="1" applyFont="1" applyFill="1" applyBorder="1" applyAlignment="1" applyProtection="1"/>
    <xf numFmtId="171" fontId="0" fillId="3" borderId="0" xfId="0" applyNumberFormat="1" applyFill="1" applyBorder="1" applyAlignment="1" applyProtection="1">
      <alignment horizontal="center"/>
    </xf>
    <xf numFmtId="164" fontId="0" fillId="3" borderId="0" xfId="0" applyNumberFormat="1" applyFill="1" applyProtection="1"/>
    <xf numFmtId="179" fontId="0" fillId="3" borderId="0" xfId="0" applyNumberFormat="1" applyFill="1" applyProtection="1"/>
    <xf numFmtId="0" fontId="0" fillId="0" borderId="8" xfId="0" applyBorder="1" applyAlignment="1" applyProtection="1">
      <alignment horizontal="left"/>
    </xf>
    <xf numFmtId="164" fontId="2" fillId="0" borderId="7" xfId="0" applyNumberFormat="1" applyFont="1" applyBorder="1" applyAlignment="1" applyProtection="1">
      <alignment horizontal="left" indent="2"/>
    </xf>
    <xf numFmtId="0" fontId="2" fillId="0" borderId="8" xfId="0" applyFont="1" applyBorder="1" applyAlignment="1" applyProtection="1">
      <alignment horizontal="left"/>
    </xf>
    <xf numFmtId="0" fontId="0" fillId="0" borderId="9" xfId="0" applyBorder="1" applyProtection="1"/>
    <xf numFmtId="164" fontId="0" fillId="0" borderId="10" xfId="0" applyNumberFormat="1" applyBorder="1" applyAlignment="1" applyProtection="1">
      <alignment horizontal="left" indent="2"/>
    </xf>
    <xf numFmtId="0" fontId="0" fillId="0" borderId="11" xfId="0" applyBorder="1" applyAlignment="1" applyProtection="1">
      <alignment horizontal="left"/>
    </xf>
    <xf numFmtId="171" fontId="0" fillId="3" borderId="0" xfId="0" applyNumberFormat="1" applyFill="1" applyProtection="1"/>
    <xf numFmtId="0" fontId="6" fillId="3" borderId="0" xfId="0" applyFont="1" applyFill="1" applyProtection="1"/>
    <xf numFmtId="192" fontId="0" fillId="2" borderId="20" xfId="0" applyNumberFormat="1" applyFill="1" applyBorder="1" applyAlignment="1" applyProtection="1">
      <alignment horizontal="center"/>
      <protection locked="0"/>
    </xf>
    <xf numFmtId="192" fontId="0" fillId="2" borderId="11" xfId="0" applyNumberFormat="1" applyFill="1" applyBorder="1" applyAlignment="1" applyProtection="1">
      <alignment horizontal="center"/>
      <protection locked="0"/>
    </xf>
    <xf numFmtId="169" fontId="0" fillId="2" borderId="10" xfId="0" applyNumberFormat="1" applyFill="1" applyBorder="1" applyAlignment="1" applyProtection="1">
      <alignment horizontal="center"/>
      <protection locked="0"/>
    </xf>
    <xf numFmtId="0" fontId="2" fillId="2" borderId="20" xfId="0" applyFont="1" applyFill="1" applyBorder="1" applyAlignment="1" applyProtection="1">
      <alignment horizontal="center"/>
    </xf>
    <xf numFmtId="43" fontId="21" fillId="3" borderId="0" xfId="1" applyNumberFormat="1" applyFont="1" applyFill="1" applyBorder="1" applyAlignment="1">
      <alignment vertical="center"/>
    </xf>
    <xf numFmtId="43" fontId="21" fillId="3" borderId="0" xfId="0" applyNumberFormat="1" applyFont="1" applyFill="1" applyBorder="1" applyAlignment="1">
      <alignment vertical="center"/>
    </xf>
    <xf numFmtId="2" fontId="0" fillId="0" borderId="0" xfId="0" applyNumberFormat="1" applyProtection="1"/>
    <xf numFmtId="0" fontId="36" fillId="0" borderId="0" xfId="0" applyFont="1"/>
    <xf numFmtId="0" fontId="7" fillId="0" borderId="0" xfId="3"/>
    <xf numFmtId="0" fontId="37" fillId="0" borderId="0" xfId="0" applyFont="1"/>
    <xf numFmtId="10" fontId="37" fillId="0" borderId="0" xfId="0" applyNumberFormat="1" applyFont="1"/>
    <xf numFmtId="9" fontId="0" fillId="0" borderId="0" xfId="2" applyFont="1"/>
    <xf numFmtId="165" fontId="0" fillId="0" borderId="0" xfId="0" applyNumberFormat="1" applyProtection="1"/>
    <xf numFmtId="1" fontId="0" fillId="0" borderId="0" xfId="0" applyNumberFormat="1" applyProtection="1"/>
    <xf numFmtId="0" fontId="2" fillId="0" borderId="0" xfId="0" applyFont="1" applyFill="1" applyBorder="1" applyAlignment="1" applyProtection="1">
      <alignment horizontal="center"/>
    </xf>
    <xf numFmtId="167" fontId="0" fillId="0" borderId="0" xfId="0" applyNumberFormat="1" applyFill="1" applyBorder="1" applyProtection="1">
      <protection locked="0"/>
    </xf>
    <xf numFmtId="2" fontId="0" fillId="2" borderId="1" xfId="0" applyNumberFormat="1" applyFill="1" applyBorder="1" applyProtection="1">
      <protection locked="0"/>
    </xf>
    <xf numFmtId="164" fontId="0" fillId="2" borderId="1" xfId="0" applyNumberFormat="1" applyFill="1" applyBorder="1" applyProtection="1">
      <protection locked="0"/>
    </xf>
    <xf numFmtId="165" fontId="2" fillId="0" borderId="0" xfId="0" applyNumberFormat="1" applyFont="1" applyProtection="1"/>
    <xf numFmtId="9" fontId="0" fillId="0" borderId="0" xfId="2" applyFont="1" applyProtection="1"/>
    <xf numFmtId="0" fontId="0" fillId="0" borderId="0" xfId="0" applyAlignment="1" applyProtection="1">
      <alignment horizontal="right"/>
    </xf>
    <xf numFmtId="0" fontId="0" fillId="0" borderId="0" xfId="0" applyAlignment="1" applyProtection="1">
      <alignment horizontal="center"/>
    </xf>
    <xf numFmtId="165" fontId="0" fillId="0" borderId="0" xfId="0" applyNumberFormat="1" applyAlignment="1" applyProtection="1">
      <alignment horizontal="center"/>
    </xf>
    <xf numFmtId="3" fontId="2" fillId="0" borderId="10" xfId="1" applyNumberFormat="1" applyFont="1" applyBorder="1" applyAlignment="1" applyProtection="1">
      <alignment horizontal="center" vertical="center"/>
    </xf>
    <xf numFmtId="3" fontId="0" fillId="0" borderId="7" xfId="0" applyNumberFormat="1" applyBorder="1" applyAlignment="1" applyProtection="1">
      <alignment horizontal="left" indent="2"/>
    </xf>
    <xf numFmtId="3" fontId="0" fillId="0" borderId="11" xfId="0" applyNumberFormat="1" applyBorder="1" applyAlignment="1" applyProtection="1">
      <alignment horizontal="left" indent="2"/>
    </xf>
    <xf numFmtId="3" fontId="0" fillId="2" borderId="10" xfId="0" applyNumberFormat="1" applyFill="1" applyBorder="1" applyAlignment="1" applyProtection="1">
      <alignment horizontal="left" indent="1"/>
      <protection locked="0"/>
    </xf>
    <xf numFmtId="194" fontId="0" fillId="3" borderId="0" xfId="0" applyNumberFormat="1" applyFill="1" applyProtection="1"/>
    <xf numFmtId="195" fontId="0" fillId="0" borderId="7" xfId="0" applyNumberFormat="1" applyBorder="1" applyAlignment="1" applyProtection="1">
      <alignment horizontal="center"/>
    </xf>
    <xf numFmtId="195" fontId="0" fillId="3" borderId="1" xfId="0" applyNumberFormat="1" applyFont="1" applyFill="1" applyBorder="1" applyAlignment="1" applyProtection="1">
      <alignment horizontal="center"/>
    </xf>
    <xf numFmtId="195" fontId="0" fillId="3" borderId="10" xfId="0" applyNumberFormat="1" applyFont="1" applyFill="1" applyBorder="1" applyAlignment="1" applyProtection="1">
      <alignment horizontal="center"/>
    </xf>
    <xf numFmtId="195" fontId="0" fillId="0" borderId="1" xfId="0" applyNumberFormat="1" applyBorder="1" applyAlignment="1" applyProtection="1">
      <alignment horizontal="center"/>
    </xf>
    <xf numFmtId="9" fontId="0" fillId="3" borderId="1" xfId="2" applyFont="1" applyFill="1" applyBorder="1" applyAlignment="1" applyProtection="1">
      <alignment horizontal="center"/>
    </xf>
    <xf numFmtId="3" fontId="0" fillId="0" borderId="7" xfId="0" applyNumberFormat="1" applyBorder="1" applyAlignment="1" applyProtection="1">
      <alignment horizontal="center"/>
    </xf>
    <xf numFmtId="3" fontId="0" fillId="0" borderId="1" xfId="0" applyNumberFormat="1" applyBorder="1" applyAlignment="1" applyProtection="1">
      <alignment horizontal="center"/>
    </xf>
    <xf numFmtId="3" fontId="0" fillId="0" borderId="10" xfId="0" applyNumberFormat="1" applyBorder="1" applyAlignment="1" applyProtection="1">
      <alignment horizontal="center"/>
    </xf>
    <xf numFmtId="9" fontId="0" fillId="0" borderId="7" xfId="2" applyFont="1" applyBorder="1" applyAlignment="1" applyProtection="1">
      <alignment horizontal="center"/>
    </xf>
    <xf numFmtId="174" fontId="0" fillId="0" borderId="8" xfId="2" applyNumberFormat="1" applyFont="1" applyBorder="1" applyAlignment="1" applyProtection="1">
      <alignment horizontal="center"/>
    </xf>
    <xf numFmtId="174" fontId="0" fillId="0" borderId="20" xfId="2" applyNumberFormat="1" applyFont="1" applyBorder="1" applyAlignment="1" applyProtection="1">
      <alignment horizontal="center"/>
    </xf>
    <xf numFmtId="9" fontId="0" fillId="3" borderId="10" xfId="2" applyFont="1" applyFill="1" applyBorder="1" applyAlignment="1" applyProtection="1">
      <alignment horizontal="center"/>
    </xf>
    <xf numFmtId="174" fontId="0" fillId="0" borderId="11" xfId="2" applyNumberFormat="1" applyFont="1" applyBorder="1" applyAlignment="1" applyProtection="1">
      <alignment horizontal="center"/>
    </xf>
    <xf numFmtId="0" fontId="0" fillId="3" borderId="11" xfId="0" applyFill="1" applyBorder="1" applyAlignment="1" applyProtection="1">
      <alignment horizontal="center"/>
    </xf>
    <xf numFmtId="0" fontId="0" fillId="3" borderId="1" xfId="0" applyFill="1" applyBorder="1" applyProtection="1">
      <protection locked="0"/>
    </xf>
    <xf numFmtId="0" fontId="0" fillId="3" borderId="44" xfId="0" applyFill="1" applyBorder="1" applyProtection="1"/>
    <xf numFmtId="187" fontId="0" fillId="3" borderId="44" xfId="0" applyNumberFormat="1" applyFill="1" applyBorder="1" applyAlignment="1" applyProtection="1">
      <alignment horizontal="right"/>
    </xf>
    <xf numFmtId="188" fontId="0" fillId="3" borderId="44" xfId="0" applyNumberFormat="1" applyFill="1" applyBorder="1" applyAlignment="1" applyProtection="1">
      <alignment horizontal="center"/>
    </xf>
    <xf numFmtId="188" fontId="0" fillId="3" borderId="31" xfId="0" applyNumberFormat="1" applyFill="1" applyBorder="1" applyAlignment="1" applyProtection="1">
      <alignment horizontal="center"/>
    </xf>
    <xf numFmtId="43" fontId="0" fillId="3" borderId="0" xfId="1" applyFont="1" applyFill="1" applyBorder="1" applyAlignment="1" applyProtection="1">
      <alignment horizontal="center"/>
    </xf>
    <xf numFmtId="2" fontId="0" fillId="3" borderId="0" xfId="0" applyNumberFormat="1" applyFill="1" applyProtection="1"/>
    <xf numFmtId="9" fontId="1" fillId="2" borderId="47" xfId="2" applyFont="1" applyFill="1" applyBorder="1" applyAlignment="1" applyProtection="1">
      <alignment horizontal="center"/>
      <protection locked="0"/>
    </xf>
    <xf numFmtId="168" fontId="0" fillId="2" borderId="19" xfId="0" applyNumberFormat="1" applyFill="1" applyBorder="1" applyAlignment="1" applyProtection="1">
      <alignment horizontal="center"/>
      <protection locked="0"/>
    </xf>
    <xf numFmtId="164" fontId="0" fillId="0" borderId="1" xfId="0" applyNumberFormat="1" applyBorder="1" applyAlignment="1" applyProtection="1">
      <alignment horizontal="center"/>
    </xf>
    <xf numFmtId="0" fontId="0" fillId="0" borderId="19" xfId="0" applyBorder="1" applyProtection="1"/>
    <xf numFmtId="0" fontId="0" fillId="3" borderId="0" xfId="0" applyFill="1" applyProtection="1"/>
    <xf numFmtId="0" fontId="2" fillId="0" borderId="7" xfId="0" applyFont="1" applyBorder="1" applyAlignment="1" applyProtection="1">
      <alignment horizontal="center"/>
    </xf>
    <xf numFmtId="0" fontId="14" fillId="3" borderId="0" xfId="0" applyFont="1" applyFill="1" applyBorder="1" applyAlignment="1" applyProtection="1">
      <alignment horizontal="left" vertical="center"/>
    </xf>
    <xf numFmtId="0" fontId="4" fillId="3" borderId="0" xfId="0" quotePrefix="1" applyFont="1" applyFill="1" applyBorder="1" applyAlignment="1" applyProtection="1">
      <alignment horizontal="right" wrapText="1"/>
    </xf>
    <xf numFmtId="0" fontId="2" fillId="0" borderId="8" xfId="0" applyFont="1" applyBorder="1" applyAlignment="1" applyProtection="1">
      <alignment horizontal="center"/>
    </xf>
    <xf numFmtId="0" fontId="2" fillId="3" borderId="0" xfId="0" applyFont="1" applyFill="1" applyBorder="1" applyProtection="1"/>
    <xf numFmtId="0" fontId="12" fillId="3" borderId="0" xfId="0" applyFont="1" applyFill="1" applyBorder="1" applyAlignment="1" applyProtection="1">
      <alignment horizontal="center"/>
    </xf>
    <xf numFmtId="0" fontId="0" fillId="3" borderId="0" xfId="0" applyFont="1" applyFill="1" applyBorder="1" applyAlignment="1" applyProtection="1">
      <alignment vertical="center"/>
    </xf>
    <xf numFmtId="0" fontId="13" fillId="3" borderId="0" xfId="0" applyFont="1" applyFill="1" applyBorder="1" applyProtection="1"/>
    <xf numFmtId="0" fontId="2" fillId="3" borderId="0" xfId="0" applyFont="1" applyFill="1" applyBorder="1" applyAlignment="1" applyProtection="1">
      <alignment horizontal="center"/>
    </xf>
    <xf numFmtId="14" fontId="0" fillId="3" borderId="0" xfId="0" applyNumberFormat="1" applyFill="1" applyBorder="1" applyAlignment="1" applyProtection="1">
      <alignment horizontal="center"/>
      <protection locked="0"/>
    </xf>
    <xf numFmtId="195" fontId="0" fillId="3" borderId="0" xfId="0" applyNumberFormat="1" applyFill="1" applyBorder="1" applyAlignment="1" applyProtection="1">
      <alignment horizontal="center"/>
      <protection locked="0"/>
    </xf>
    <xf numFmtId="9" fontId="0" fillId="3" borderId="0" xfId="2" applyFont="1" applyFill="1" applyBorder="1" applyAlignment="1" applyProtection="1">
      <alignment horizontal="center"/>
    </xf>
    <xf numFmtId="0" fontId="0" fillId="3" borderId="0" xfId="0" applyFill="1" applyBorder="1" applyAlignment="1" applyProtection="1">
      <protection locked="0"/>
    </xf>
    <xf numFmtId="165" fontId="0" fillId="3" borderId="20" xfId="0" applyNumberFormat="1" applyFill="1" applyBorder="1" applyAlignment="1" applyProtection="1">
      <alignment horizontal="center"/>
    </xf>
    <xf numFmtId="0" fontId="0" fillId="3" borderId="20" xfId="0" applyFill="1" applyBorder="1" applyAlignment="1" applyProtection="1">
      <alignment horizontal="center"/>
    </xf>
    <xf numFmtId="172" fontId="0" fillId="3" borderId="20" xfId="2" applyNumberFormat="1" applyFont="1" applyFill="1" applyBorder="1" applyAlignment="1" applyProtection="1">
      <alignment horizontal="center"/>
    </xf>
    <xf numFmtId="2" fontId="0" fillId="3" borderId="11" xfId="0" applyNumberFormat="1" applyFill="1" applyBorder="1" applyAlignment="1" applyProtection="1">
      <alignment horizontal="center"/>
    </xf>
    <xf numFmtId="2" fontId="0" fillId="3" borderId="0" xfId="0" applyNumberFormat="1" applyFill="1" applyBorder="1" applyAlignment="1" applyProtection="1">
      <alignment horizontal="center"/>
    </xf>
    <xf numFmtId="9" fontId="2" fillId="3" borderId="0" xfId="2" applyFont="1" applyFill="1" applyBorder="1" applyAlignment="1" applyProtection="1">
      <alignment horizontal="center"/>
    </xf>
    <xf numFmtId="0" fontId="0" fillId="3" borderId="0" xfId="0" applyFill="1" applyBorder="1" applyProtection="1"/>
    <xf numFmtId="175" fontId="2" fillId="0" borderId="10" xfId="0" applyNumberFormat="1" applyFont="1" applyBorder="1" applyAlignment="1" applyProtection="1">
      <alignment horizontal="right" indent="1"/>
    </xf>
    <xf numFmtId="0" fontId="0" fillId="3" borderId="18" xfId="0" applyFill="1" applyBorder="1" applyProtection="1">
      <protection locked="0"/>
    </xf>
    <xf numFmtId="188" fontId="0" fillId="3" borderId="25" xfId="0" applyNumberFormat="1" applyFill="1" applyBorder="1" applyAlignment="1" applyProtection="1">
      <alignment horizontal="center"/>
    </xf>
    <xf numFmtId="167" fontId="0" fillId="3" borderId="20" xfId="0" applyNumberFormat="1" applyFill="1" applyBorder="1" applyProtection="1"/>
    <xf numFmtId="171" fontId="0" fillId="3" borderId="20" xfId="0" applyNumberFormat="1" applyFill="1" applyBorder="1" applyProtection="1"/>
    <xf numFmtId="167" fontId="0" fillId="3" borderId="59" xfId="0" applyNumberFormat="1" applyFill="1" applyBorder="1" applyProtection="1"/>
    <xf numFmtId="0" fontId="39" fillId="0" borderId="0" xfId="0" applyFont="1"/>
    <xf numFmtId="0" fontId="40" fillId="0" borderId="0" xfId="0" applyFont="1"/>
    <xf numFmtId="0" fontId="0" fillId="0" borderId="3" xfId="0" applyBorder="1" applyProtection="1"/>
    <xf numFmtId="0" fontId="0" fillId="3" borderId="0" xfId="0" applyFill="1" applyBorder="1" applyProtection="1"/>
    <xf numFmtId="0" fontId="0" fillId="3" borderId="0" xfId="0" applyFill="1" applyProtection="1"/>
    <xf numFmtId="0" fontId="2" fillId="0" borderId="6" xfId="0" applyFont="1" applyBorder="1" applyProtection="1"/>
    <xf numFmtId="9" fontId="0" fillId="4" borderId="9" xfId="2" applyFont="1" applyFill="1" applyBorder="1" applyProtection="1"/>
    <xf numFmtId="0" fontId="0" fillId="3" borderId="8" xfId="0" applyFill="1" applyBorder="1" applyAlignment="1" applyProtection="1">
      <alignment horizontal="center"/>
    </xf>
    <xf numFmtId="0" fontId="0" fillId="0" borderId="23" xfId="0" applyBorder="1" applyAlignment="1" applyProtection="1">
      <alignment horizontal="center"/>
    </xf>
    <xf numFmtId="195" fontId="0" fillId="3" borderId="52" xfId="0" applyNumberFormat="1" applyFill="1" applyBorder="1" applyAlignment="1" applyProtection="1">
      <alignment horizontal="center"/>
    </xf>
    <xf numFmtId="0" fontId="0" fillId="2" borderId="7" xfId="0" applyFill="1" applyBorder="1" applyProtection="1">
      <protection locked="0"/>
    </xf>
    <xf numFmtId="198" fontId="0" fillId="0" borderId="8" xfId="1" applyNumberFormat="1" applyFont="1" applyBorder="1" applyAlignment="1" applyProtection="1">
      <alignment horizontal="left"/>
    </xf>
    <xf numFmtId="168" fontId="0" fillId="2" borderId="10" xfId="0" applyNumberFormat="1" applyFill="1" applyBorder="1" applyProtection="1">
      <protection locked="0"/>
    </xf>
    <xf numFmtId="171" fontId="0" fillId="3" borderId="11" xfId="0" applyNumberFormat="1" applyFill="1" applyBorder="1" applyAlignment="1" applyProtection="1">
      <alignment horizontal="center"/>
    </xf>
    <xf numFmtId="0" fontId="2" fillId="0" borderId="6" xfId="0" applyFont="1" applyBorder="1" applyAlignment="1" applyProtection="1"/>
    <xf numFmtId="0" fontId="2" fillId="0" borderId="7" xfId="0" applyFont="1" applyBorder="1" applyAlignment="1" applyProtection="1"/>
    <xf numFmtId="9" fontId="0" fillId="0" borderId="20" xfId="2" applyFont="1" applyBorder="1" applyAlignment="1" applyProtection="1">
      <alignment horizontal="center"/>
    </xf>
    <xf numFmtId="9" fontId="2" fillId="3" borderId="20" xfId="2" applyFont="1" applyFill="1" applyBorder="1" applyAlignment="1" applyProtection="1">
      <alignment horizontal="center"/>
    </xf>
    <xf numFmtId="9" fontId="2" fillId="0" borderId="11" xfId="2" applyFont="1" applyBorder="1" applyAlignment="1" applyProtection="1">
      <alignment horizontal="center"/>
    </xf>
    <xf numFmtId="0" fontId="2" fillId="3" borderId="7" xfId="0" applyFont="1" applyFill="1" applyBorder="1" applyAlignment="1" applyProtection="1">
      <alignment horizontal="center"/>
    </xf>
    <xf numFmtId="9" fontId="2" fillId="3" borderId="10" xfId="2" applyFont="1" applyFill="1" applyBorder="1" applyAlignment="1" applyProtection="1">
      <alignment horizontal="center"/>
    </xf>
    <xf numFmtId="0" fontId="2" fillId="0" borderId="1" xfId="0" applyFont="1" applyBorder="1" applyAlignment="1" applyProtection="1">
      <alignment horizontal="center"/>
    </xf>
    <xf numFmtId="0" fontId="2" fillId="2" borderId="1" xfId="0" applyFont="1" applyFill="1" applyBorder="1" applyAlignment="1" applyProtection="1">
      <alignment horizontal="center"/>
    </xf>
    <xf numFmtId="0" fontId="2" fillId="0" borderId="60" xfId="0" applyFont="1" applyFill="1" applyBorder="1" applyAlignment="1" applyProtection="1">
      <alignment horizontal="right" indent="1"/>
    </xf>
    <xf numFmtId="172" fontId="2" fillId="4" borderId="25" xfId="2" applyNumberFormat="1" applyFont="1" applyFill="1" applyBorder="1" applyAlignment="1" applyProtection="1">
      <alignment horizontal="center"/>
    </xf>
    <xf numFmtId="167" fontId="2" fillId="0" borderId="1" xfId="0" applyNumberFormat="1" applyFont="1" applyFill="1" applyBorder="1" applyAlignment="1" applyProtection="1">
      <alignment horizontal="right" indent="1"/>
    </xf>
    <xf numFmtId="167" fontId="2" fillId="0" borderId="10" xfId="0" applyNumberFormat="1" applyFont="1" applyFill="1" applyBorder="1" applyAlignment="1" applyProtection="1">
      <alignment horizontal="right" indent="1"/>
    </xf>
    <xf numFmtId="0" fontId="0" fillId="3" borderId="0" xfId="0" quotePrefix="1" applyFill="1" applyProtection="1"/>
    <xf numFmtId="0" fontId="3" fillId="3" borderId="0" xfId="0" applyFont="1" applyFill="1" applyBorder="1" applyAlignment="1" applyProtection="1">
      <alignment horizontal="left" vertical="center"/>
      <protection locked="0"/>
    </xf>
    <xf numFmtId="0" fontId="0" fillId="3" borderId="6" xfId="0" applyFill="1" applyBorder="1" applyProtection="1"/>
    <xf numFmtId="0" fontId="41" fillId="3" borderId="7" xfId="0" applyFont="1" applyFill="1" applyBorder="1" applyAlignment="1" applyProtection="1">
      <alignment horizontal="center" vertical="center"/>
    </xf>
    <xf numFmtId="0" fontId="41" fillId="3" borderId="8" xfId="0" applyFont="1" applyFill="1" applyBorder="1" applyAlignment="1" applyProtection="1">
      <alignment horizontal="center" vertical="center"/>
    </xf>
    <xf numFmtId="0" fontId="0" fillId="3" borderId="0" xfId="0" applyFill="1" applyAlignment="1">
      <alignment horizontal="left" indent="1"/>
    </xf>
    <xf numFmtId="164" fontId="0" fillId="0" borderId="64" xfId="0" applyNumberFormat="1" applyBorder="1" applyAlignment="1" applyProtection="1">
      <alignment horizontal="center"/>
    </xf>
    <xf numFmtId="164" fontId="0" fillId="0" borderId="18" xfId="0" applyNumberFormat="1" applyBorder="1" applyAlignment="1" applyProtection="1">
      <alignment horizontal="center"/>
    </xf>
    <xf numFmtId="164" fontId="0" fillId="0" borderId="18" xfId="0" applyNumberFormat="1" applyFill="1" applyBorder="1" applyAlignment="1" applyProtection="1">
      <alignment horizontal="center"/>
    </xf>
    <xf numFmtId="164" fontId="0" fillId="0" borderId="69" xfId="0" applyNumberFormat="1" applyFill="1" applyBorder="1" applyAlignment="1" applyProtection="1">
      <alignment horizontal="center"/>
    </xf>
    <xf numFmtId="164" fontId="0" fillId="0" borderId="56" xfId="0" applyNumberFormat="1" applyBorder="1" applyAlignment="1" applyProtection="1">
      <alignment horizontal="center"/>
    </xf>
    <xf numFmtId="164" fontId="0" fillId="0" borderId="45" xfId="0" applyNumberFormat="1" applyBorder="1" applyAlignment="1" applyProtection="1">
      <alignment horizontal="center"/>
    </xf>
    <xf numFmtId="164" fontId="0" fillId="0" borderId="45" xfId="0" applyNumberFormat="1" applyFill="1" applyBorder="1" applyAlignment="1" applyProtection="1">
      <alignment horizontal="center"/>
    </xf>
    <xf numFmtId="164" fontId="0" fillId="0" borderId="68" xfId="0" applyNumberFormat="1" applyFill="1" applyBorder="1" applyAlignment="1" applyProtection="1">
      <alignment horizontal="center"/>
    </xf>
    <xf numFmtId="182" fontId="25" fillId="35" borderId="51" xfId="0" applyNumberFormat="1" applyFont="1" applyFill="1" applyBorder="1" applyAlignment="1" applyProtection="1">
      <alignment horizontal="center"/>
      <protection locked="0"/>
    </xf>
    <xf numFmtId="0" fontId="18" fillId="3" borderId="0" xfId="0" applyFont="1" applyFill="1" applyBorder="1" applyAlignment="1">
      <alignment shrinkToFit="1"/>
    </xf>
    <xf numFmtId="0" fontId="0" fillId="2" borderId="19" xfId="0" applyFill="1" applyBorder="1" applyProtection="1">
      <protection locked="0"/>
    </xf>
    <xf numFmtId="0" fontId="0" fillId="3" borderId="0" xfId="0" applyFill="1" applyBorder="1" applyAlignment="1" applyProtection="1">
      <alignment vertical="center"/>
    </xf>
    <xf numFmtId="0" fontId="14" fillId="3" borderId="0" xfId="0" applyFont="1" applyFill="1" applyBorder="1" applyAlignment="1" applyProtection="1">
      <alignment horizontal="left" vertical="center"/>
    </xf>
    <xf numFmtId="164" fontId="0" fillId="3" borderId="0" xfId="0" applyNumberFormat="1" applyFill="1" applyBorder="1" applyAlignment="1" applyProtection="1">
      <alignment horizontal="center"/>
    </xf>
    <xf numFmtId="0" fontId="0" fillId="3" borderId="0" xfId="0" applyFill="1" applyBorder="1" applyProtection="1"/>
    <xf numFmtId="0" fontId="0" fillId="3" borderId="28" xfId="0" applyFill="1" applyBorder="1" applyAlignment="1" applyProtection="1"/>
    <xf numFmtId="0" fontId="0" fillId="3" borderId="0" xfId="0" applyFill="1" applyBorder="1" applyAlignment="1" applyProtection="1"/>
    <xf numFmtId="0" fontId="0" fillId="3" borderId="0" xfId="0" applyFill="1" applyProtection="1"/>
    <xf numFmtId="0" fontId="2" fillId="0" borderId="9" xfId="0" applyFont="1" applyBorder="1" applyAlignment="1" applyProtection="1">
      <alignment horizontal="right" indent="1"/>
    </xf>
    <xf numFmtId="0" fontId="0" fillId="3" borderId="0" xfId="0" applyFill="1" applyBorder="1" applyAlignment="1" applyProtection="1">
      <alignment horizontal="center"/>
    </xf>
    <xf numFmtId="0" fontId="0" fillId="0" borderId="19" xfId="0" applyBorder="1" applyProtection="1"/>
    <xf numFmtId="0" fontId="2" fillId="3" borderId="0" xfId="0" applyFont="1" applyFill="1" applyBorder="1" applyAlignment="1" applyProtection="1">
      <alignment horizontal="right" indent="1"/>
    </xf>
    <xf numFmtId="0" fontId="2" fillId="0" borderId="19" xfId="0" applyFont="1" applyBorder="1" applyAlignment="1" applyProtection="1">
      <alignment horizontal="right" indent="1"/>
    </xf>
    <xf numFmtId="164" fontId="0" fillId="0" borderId="1" xfId="0" applyNumberFormat="1" applyBorder="1" applyAlignment="1" applyProtection="1">
      <alignment horizontal="center"/>
    </xf>
    <xf numFmtId="164" fontId="0" fillId="0" borderId="20" xfId="0" applyNumberFormat="1" applyBorder="1" applyAlignment="1" applyProtection="1">
      <alignment horizontal="center"/>
    </xf>
    <xf numFmtId="0" fontId="0" fillId="2" borderId="9" xfId="0" applyFill="1" applyBorder="1" applyAlignment="1" applyProtection="1">
      <alignment horizontal="center"/>
      <protection locked="0"/>
    </xf>
    <xf numFmtId="0" fontId="2" fillId="0" borderId="7" xfId="0" applyFont="1" applyBorder="1" applyAlignment="1" applyProtection="1">
      <alignment horizontal="center"/>
    </xf>
    <xf numFmtId="0" fontId="2" fillId="0" borderId="8" xfId="0" applyFont="1" applyBorder="1" applyAlignment="1" applyProtection="1">
      <alignment horizontal="center"/>
    </xf>
    <xf numFmtId="0" fontId="10" fillId="3" borderId="16" xfId="0" applyFont="1" applyFill="1" applyBorder="1" applyProtection="1"/>
    <xf numFmtId="0" fontId="2" fillId="0" borderId="6" xfId="0" applyFont="1" applyBorder="1" applyAlignment="1" applyProtection="1">
      <alignment horizontal="center"/>
    </xf>
    <xf numFmtId="0" fontId="4" fillId="3" borderId="0" xfId="0" quotePrefix="1" applyFont="1" applyFill="1" applyBorder="1" applyAlignment="1" applyProtection="1">
      <alignment horizontal="right" wrapText="1"/>
    </xf>
    <xf numFmtId="0" fontId="0" fillId="3" borderId="26" xfId="0" applyFill="1" applyBorder="1" applyAlignment="1" applyProtection="1">
      <alignment horizontal="center" vertical="center"/>
    </xf>
    <xf numFmtId="164" fontId="0" fillId="0" borderId="10" xfId="0" applyNumberFormat="1" applyBorder="1" applyAlignment="1" applyProtection="1">
      <alignment horizontal="center"/>
    </xf>
    <xf numFmtId="0" fontId="2" fillId="3" borderId="2" xfId="0" applyFont="1" applyFill="1" applyBorder="1" applyAlignment="1" applyProtection="1">
      <alignment horizontal="center" vertical="center"/>
    </xf>
    <xf numFmtId="0" fontId="0" fillId="3" borderId="51" xfId="0" applyFill="1" applyBorder="1" applyAlignment="1" applyProtection="1">
      <alignment horizontal="center" vertical="center"/>
    </xf>
    <xf numFmtId="0" fontId="13" fillId="3" borderId="13" xfId="0" applyFont="1" applyFill="1" applyBorder="1" applyProtection="1"/>
    <xf numFmtId="0" fontId="0" fillId="3" borderId="28" xfId="0" applyFill="1" applyBorder="1" applyAlignment="1" applyProtection="1">
      <alignment horizontal="right" indent="1"/>
    </xf>
    <xf numFmtId="0" fontId="0" fillId="3" borderId="0" xfId="0" applyFill="1" applyBorder="1" applyAlignment="1" applyProtection="1">
      <alignment horizontal="right" indent="1"/>
    </xf>
    <xf numFmtId="0" fontId="0" fillId="3" borderId="0" xfId="0" applyFill="1" applyBorder="1" applyAlignment="1" applyProtection="1">
      <alignment horizontal="left" indent="1"/>
    </xf>
    <xf numFmtId="0" fontId="2" fillId="0" borderId="1" xfId="0" applyFont="1" applyBorder="1" applyAlignment="1" applyProtection="1">
      <alignment horizontal="center" vertical="center"/>
    </xf>
    <xf numFmtId="0" fontId="0" fillId="2" borderId="0" xfId="0" applyFill="1" applyBorder="1" applyAlignment="1" applyProtection="1">
      <alignment horizontal="center"/>
      <protection locked="0"/>
    </xf>
    <xf numFmtId="0" fontId="0" fillId="3" borderId="55" xfId="0" applyFill="1" applyBorder="1" applyAlignment="1" applyProtection="1">
      <alignment horizontal="center"/>
    </xf>
    <xf numFmtId="1" fontId="0" fillId="3" borderId="0" xfId="1" applyNumberFormat="1" applyFont="1" applyFill="1" applyAlignment="1" applyProtection="1">
      <alignment horizontal="center"/>
    </xf>
    <xf numFmtId="0" fontId="3" fillId="3" borderId="0" xfId="0" applyFont="1" applyFill="1" applyBorder="1" applyAlignment="1" applyProtection="1">
      <alignment horizontal="left" vertical="center"/>
      <protection locked="0"/>
    </xf>
    <xf numFmtId="0" fontId="7" fillId="0" borderId="0" xfId="3" applyFont="1"/>
    <xf numFmtId="0" fontId="42" fillId="0" borderId="0" xfId="0" applyFont="1"/>
    <xf numFmtId="0" fontId="43" fillId="0" borderId="0" xfId="0" applyFont="1"/>
    <xf numFmtId="0" fontId="1" fillId="0" borderId="0" xfId="0" applyFont="1"/>
    <xf numFmtId="14" fontId="0" fillId="0" borderId="0" xfId="0" applyNumberFormat="1"/>
    <xf numFmtId="0" fontId="0" fillId="3" borderId="0" xfId="0" applyFill="1" applyBorder="1" applyAlignment="1" applyProtection="1"/>
    <xf numFmtId="0" fontId="0" fillId="3" borderId="0" xfId="0" applyFill="1" applyProtection="1"/>
    <xf numFmtId="0" fontId="0" fillId="3" borderId="0" xfId="0" applyFill="1" applyBorder="1" applyAlignment="1" applyProtection="1">
      <alignment vertical="center"/>
    </xf>
    <xf numFmtId="0" fontId="0" fillId="3" borderId="0" xfId="0" applyFill="1" applyBorder="1" applyAlignment="1" applyProtection="1">
      <alignment horizontal="left" indent="1"/>
    </xf>
    <xf numFmtId="164" fontId="0" fillId="0" borderId="20" xfId="0" applyNumberFormat="1" applyBorder="1" applyAlignment="1" applyProtection="1">
      <alignment horizontal="center"/>
    </xf>
    <xf numFmtId="0" fontId="2" fillId="0" borderId="7" xfId="0" applyFont="1" applyBorder="1" applyAlignment="1" applyProtection="1">
      <alignment horizontal="center"/>
    </xf>
    <xf numFmtId="0" fontId="2" fillId="0" borderId="8" xfId="0" applyFont="1" applyBorder="1" applyAlignment="1" applyProtection="1">
      <alignment horizontal="center"/>
    </xf>
    <xf numFmtId="0" fontId="2" fillId="0" borderId="19" xfId="0" applyFont="1" applyBorder="1" applyAlignment="1" applyProtection="1">
      <alignment horizontal="right" indent="1"/>
    </xf>
    <xf numFmtId="0" fontId="2" fillId="3" borderId="9" xfId="0" applyFont="1" applyFill="1" applyBorder="1" applyAlignment="1" applyProtection="1">
      <alignment horizontal="right" indent="1"/>
    </xf>
    <xf numFmtId="0" fontId="0" fillId="3" borderId="0" xfId="0" applyFill="1" applyBorder="1" applyAlignment="1" applyProtection="1">
      <alignment horizontal="center"/>
    </xf>
    <xf numFmtId="0" fontId="0" fillId="3" borderId="1" xfId="0" applyFill="1" applyBorder="1" applyProtection="1"/>
    <xf numFmtId="2" fontId="0" fillId="3" borderId="1" xfId="0" applyNumberFormat="1" applyFill="1" applyBorder="1" applyAlignment="1" applyProtection="1">
      <alignment horizontal="center"/>
    </xf>
    <xf numFmtId="43" fontId="0" fillId="3" borderId="0" xfId="1" applyFont="1" applyFill="1" applyBorder="1" applyAlignment="1" applyProtection="1"/>
    <xf numFmtId="165" fontId="0" fillId="3" borderId="0" xfId="0" applyNumberFormat="1" applyFill="1" applyBorder="1" applyProtection="1"/>
    <xf numFmtId="9" fontId="0" fillId="0" borderId="24" xfId="2" applyFont="1" applyFill="1" applyBorder="1" applyAlignment="1" applyProtection="1">
      <alignment horizontal="center"/>
    </xf>
    <xf numFmtId="9" fontId="0" fillId="0" borderId="25" xfId="2" applyFont="1" applyFill="1" applyBorder="1" applyAlignment="1" applyProtection="1">
      <alignment horizontal="center"/>
    </xf>
    <xf numFmtId="170" fontId="2" fillId="2" borderId="2" xfId="0" applyNumberFormat="1" applyFont="1" applyFill="1" applyBorder="1" applyAlignment="1" applyProtection="1">
      <alignment horizontal="center"/>
      <protection locked="0"/>
    </xf>
    <xf numFmtId="164" fontId="2" fillId="3" borderId="0" xfId="0" applyNumberFormat="1" applyFont="1" applyFill="1" applyBorder="1" applyAlignment="1" applyProtection="1">
      <alignment horizontal="center"/>
    </xf>
    <xf numFmtId="176" fontId="0" fillId="3" borderId="0" xfId="0" applyNumberFormat="1" applyFill="1" applyBorder="1" applyAlignment="1" applyProtection="1">
      <alignment horizontal="center"/>
    </xf>
    <xf numFmtId="9" fontId="0" fillId="0" borderId="6" xfId="2" applyFont="1" applyFill="1" applyBorder="1" applyAlignment="1" applyProtection="1">
      <alignment horizontal="center"/>
    </xf>
    <xf numFmtId="9" fontId="0" fillId="0" borderId="8" xfId="2" applyFont="1" applyFill="1" applyBorder="1" applyAlignment="1" applyProtection="1">
      <alignment horizontal="center"/>
    </xf>
    <xf numFmtId="164" fontId="0" fillId="0" borderId="69" xfId="0" applyNumberFormat="1" applyBorder="1" applyAlignment="1" applyProtection="1">
      <alignment horizontal="center"/>
    </xf>
    <xf numFmtId="0" fontId="2" fillId="3" borderId="24" xfId="0" applyFont="1" applyFill="1" applyBorder="1" applyProtection="1"/>
    <xf numFmtId="0" fontId="0" fillId="3" borderId="11" xfId="0" applyFill="1" applyBorder="1" applyAlignment="1" applyProtection="1">
      <alignment horizontal="center" vertical="center"/>
    </xf>
    <xf numFmtId="172" fontId="0" fillId="0" borderId="0" xfId="2" applyNumberFormat="1" applyFont="1" applyProtection="1"/>
    <xf numFmtId="43" fontId="0" fillId="0" borderId="0" xfId="1" applyFont="1" applyProtection="1"/>
    <xf numFmtId="195" fontId="0" fillId="3" borderId="51" xfId="0" applyNumberFormat="1" applyFill="1" applyBorder="1" applyAlignment="1" applyProtection="1">
      <alignment horizontal="center"/>
    </xf>
    <xf numFmtId="0" fontId="2" fillId="0" borderId="52" xfId="0" applyFont="1" applyBorder="1" applyAlignment="1" applyProtection="1">
      <alignment horizontal="center"/>
    </xf>
    <xf numFmtId="195" fontId="0" fillId="3" borderId="25" xfId="0" applyNumberFormat="1" applyFill="1" applyBorder="1" applyAlignment="1" applyProtection="1">
      <alignment horizontal="center"/>
    </xf>
    <xf numFmtId="195" fontId="0" fillId="3" borderId="27" xfId="0" applyNumberFormat="1" applyFill="1" applyBorder="1" applyAlignment="1" applyProtection="1">
      <alignment horizontal="left" indent="1"/>
    </xf>
    <xf numFmtId="195" fontId="2" fillId="3" borderId="24" xfId="0" applyNumberFormat="1" applyFont="1" applyFill="1" applyBorder="1" applyAlignment="1" applyProtection="1">
      <alignment horizontal="right"/>
    </xf>
    <xf numFmtId="195" fontId="2" fillId="3" borderId="27" xfId="0" applyNumberFormat="1" applyFont="1" applyFill="1" applyBorder="1" applyAlignment="1" applyProtection="1">
      <alignment horizontal="right"/>
    </xf>
    <xf numFmtId="164" fontId="0" fillId="2" borderId="1" xfId="0" applyNumberFormat="1" applyFill="1" applyBorder="1" applyProtection="1"/>
    <xf numFmtId="2" fontId="0" fillId="2" borderId="1" xfId="0" applyNumberFormat="1" applyFill="1" applyBorder="1" applyProtection="1"/>
    <xf numFmtId="167" fontId="0" fillId="0" borderId="0" xfId="0" applyNumberFormat="1" applyFill="1" applyBorder="1" applyProtection="1"/>
    <xf numFmtId="0" fontId="38" fillId="0" borderId="0" xfId="0" applyFont="1" applyProtection="1"/>
    <xf numFmtId="0" fontId="2" fillId="3" borderId="0" xfId="0" applyFont="1" applyFill="1" applyProtection="1"/>
    <xf numFmtId="0" fontId="2" fillId="3" borderId="0" xfId="0" applyFont="1" applyFill="1" applyAlignment="1" applyProtection="1">
      <alignment horizontal="left" indent="1"/>
    </xf>
    <xf numFmtId="168" fontId="0" fillId="3" borderId="12" xfId="0" applyNumberFormat="1" applyFill="1" applyBorder="1" applyAlignment="1" applyProtection="1">
      <alignment horizontal="center"/>
    </xf>
    <xf numFmtId="168" fontId="0" fillId="3" borderId="6" xfId="0" applyNumberFormat="1" applyFill="1" applyBorder="1" applyAlignment="1" applyProtection="1">
      <alignment horizontal="center"/>
    </xf>
    <xf numFmtId="9" fontId="1" fillId="0" borderId="8" xfId="2" applyFont="1" applyBorder="1" applyAlignment="1" applyProtection="1">
      <alignment horizontal="left" indent="1"/>
    </xf>
    <xf numFmtId="0" fontId="2" fillId="0" borderId="1" xfId="0" applyFont="1" applyBorder="1" applyAlignment="1" applyProtection="1">
      <alignment horizontal="right"/>
    </xf>
    <xf numFmtId="9" fontId="1" fillId="3" borderId="20" xfId="2" applyFont="1" applyFill="1" applyBorder="1" applyAlignment="1" applyProtection="1">
      <alignment horizontal="left" indent="1"/>
    </xf>
    <xf numFmtId="0" fontId="46" fillId="0" borderId="0" xfId="0" applyFont="1" applyProtection="1"/>
    <xf numFmtId="195" fontId="0" fillId="2" borderId="27" xfId="0" applyNumberFormat="1" applyFill="1" applyBorder="1" applyAlignment="1" applyProtection="1">
      <alignment horizontal="left" indent="1"/>
      <protection locked="0"/>
    </xf>
    <xf numFmtId="14" fontId="0" fillId="2" borderId="2" xfId="0" applyNumberFormat="1" applyFill="1" applyBorder="1" applyAlignment="1" applyProtection="1">
      <alignment horizontal="center"/>
      <protection locked="0"/>
    </xf>
    <xf numFmtId="195" fontId="47" fillId="2" borderId="1" xfId="0" applyNumberFormat="1" applyFont="1" applyFill="1" applyBorder="1" applyAlignment="1" applyProtection="1">
      <alignment horizontal="center"/>
      <protection locked="0"/>
    </xf>
    <xf numFmtId="195" fontId="47" fillId="2" borderId="18" xfId="0" applyNumberFormat="1" applyFont="1" applyFill="1" applyBorder="1" applyAlignment="1" applyProtection="1">
      <alignment horizontal="center"/>
      <protection locked="0"/>
    </xf>
    <xf numFmtId="195" fontId="47" fillId="2" borderId="2" xfId="0" applyNumberFormat="1" applyFont="1" applyFill="1" applyBorder="1" applyAlignment="1" applyProtection="1">
      <alignment horizontal="center"/>
      <protection locked="0"/>
    </xf>
    <xf numFmtId="0" fontId="41" fillId="3" borderId="10" xfId="0" applyFont="1" applyFill="1" applyBorder="1" applyAlignment="1" applyProtection="1">
      <alignment horizontal="center" vertical="center"/>
    </xf>
    <xf numFmtId="0" fontId="41" fillId="3" borderId="10" xfId="0" applyFont="1" applyFill="1" applyBorder="1" applyAlignment="1" applyProtection="1">
      <alignment horizontal="right" vertical="center" indent="1"/>
    </xf>
    <xf numFmtId="0" fontId="41" fillId="3" borderId="19" xfId="0" applyFont="1" applyFill="1" applyBorder="1" applyAlignment="1" applyProtection="1">
      <alignment horizontal="center" vertical="center"/>
    </xf>
    <xf numFmtId="0" fontId="41" fillId="3" borderId="2" xfId="0" applyFont="1" applyFill="1" applyBorder="1" applyAlignment="1" applyProtection="1">
      <alignment horizontal="center" vertical="center"/>
    </xf>
    <xf numFmtId="0" fontId="0" fillId="3" borderId="0" xfId="0" applyFill="1" applyAlignment="1">
      <alignment vertical="center"/>
    </xf>
    <xf numFmtId="0" fontId="0" fillId="3" borderId="0" xfId="0" applyFill="1" applyAlignment="1">
      <alignment horizontal="left" vertical="center"/>
    </xf>
    <xf numFmtId="0" fontId="48" fillId="3" borderId="19" xfId="0" applyFont="1" applyFill="1" applyBorder="1" applyAlignment="1" applyProtection="1">
      <alignment horizontal="left" vertical="center" indent="1"/>
      <protection locked="0"/>
    </xf>
    <xf numFmtId="171" fontId="48" fillId="3" borderId="2" xfId="0" applyNumberFormat="1" applyFont="1" applyFill="1" applyBorder="1" applyAlignment="1" applyProtection="1">
      <alignment horizontal="left" vertical="center" indent="1"/>
      <protection locked="0"/>
    </xf>
    <xf numFmtId="0" fontId="48" fillId="3" borderId="9" xfId="0" applyFont="1" applyFill="1" applyBorder="1" applyAlignment="1" applyProtection="1">
      <alignment horizontal="left" vertical="center" indent="1"/>
      <protection locked="0"/>
    </xf>
    <xf numFmtId="171" fontId="48" fillId="3" borderId="51" xfId="0" applyNumberFormat="1" applyFont="1" applyFill="1" applyBorder="1" applyAlignment="1" applyProtection="1">
      <alignment horizontal="left" vertical="center" indent="1"/>
      <protection locked="0"/>
    </xf>
    <xf numFmtId="0" fontId="41" fillId="3" borderId="19" xfId="0" applyFont="1" applyFill="1" applyBorder="1" applyAlignment="1" applyProtection="1">
      <alignment horizontal="right" vertical="center" indent="1"/>
    </xf>
    <xf numFmtId="0" fontId="41" fillId="3" borderId="9" xfId="0" applyFont="1" applyFill="1" applyBorder="1" applyAlignment="1" applyProtection="1">
      <alignment horizontal="right" vertical="center" indent="1"/>
    </xf>
    <xf numFmtId="0" fontId="2" fillId="0" borderId="9" xfId="0" applyFont="1" applyBorder="1" applyAlignment="1" applyProtection="1">
      <alignment horizontal="left" indent="1"/>
    </xf>
    <xf numFmtId="0" fontId="2" fillId="0" borderId="19" xfId="0" applyFont="1" applyBorder="1" applyAlignment="1" applyProtection="1">
      <alignment horizontal="right" vertical="center" indent="1"/>
    </xf>
    <xf numFmtId="0" fontId="2" fillId="0" borderId="9" xfId="0" applyFont="1" applyBorder="1" applyAlignment="1" applyProtection="1">
      <alignment horizontal="right" vertical="center" indent="1"/>
    </xf>
    <xf numFmtId="165" fontId="0" fillId="3" borderId="1" xfId="0" applyNumberFormat="1" applyFill="1" applyBorder="1" applyAlignment="1" applyProtection="1">
      <alignment horizontal="left" indent="1"/>
    </xf>
    <xf numFmtId="172" fontId="0" fillId="3" borderId="1" xfId="2" applyNumberFormat="1" applyFont="1" applyFill="1" applyBorder="1" applyAlignment="1" applyProtection="1">
      <alignment horizontal="left" indent="1"/>
    </xf>
    <xf numFmtId="0" fontId="0" fillId="3" borderId="1" xfId="0" applyFill="1" applyBorder="1" applyAlignment="1" applyProtection="1">
      <alignment horizontal="left" indent="1"/>
    </xf>
    <xf numFmtId="2" fontId="0" fillId="3" borderId="1" xfId="0" applyNumberFormat="1" applyFill="1" applyBorder="1" applyAlignment="1" applyProtection="1">
      <alignment horizontal="left" indent="1"/>
    </xf>
    <xf numFmtId="165" fontId="0" fillId="3" borderId="20" xfId="0" applyNumberFormat="1" applyFill="1" applyBorder="1" applyAlignment="1" applyProtection="1">
      <alignment horizontal="right" indent="1"/>
    </xf>
    <xf numFmtId="0" fontId="0" fillId="3" borderId="20" xfId="0" applyFill="1" applyBorder="1" applyAlignment="1" applyProtection="1">
      <alignment horizontal="right" indent="1"/>
    </xf>
    <xf numFmtId="172" fontId="0" fillId="3" borderId="20" xfId="2" applyNumberFormat="1" applyFont="1" applyFill="1" applyBorder="1" applyAlignment="1" applyProtection="1">
      <alignment horizontal="right" indent="1"/>
    </xf>
    <xf numFmtId="2" fontId="0" fillId="3" borderId="20" xfId="0" applyNumberFormat="1" applyFill="1" applyBorder="1" applyAlignment="1" applyProtection="1">
      <alignment horizontal="right" indent="1"/>
    </xf>
    <xf numFmtId="9" fontId="0" fillId="3" borderId="10" xfId="2" applyNumberFormat="1" applyFont="1" applyFill="1" applyBorder="1" applyAlignment="1" applyProtection="1">
      <alignment horizontal="left" indent="1"/>
    </xf>
    <xf numFmtId="9" fontId="0" fillId="3" borderId="10" xfId="2" applyNumberFormat="1" applyFont="1" applyFill="1" applyBorder="1" applyAlignment="1" applyProtection="1">
      <alignment horizontal="center"/>
    </xf>
    <xf numFmtId="9" fontId="0" fillId="3" borderId="11" xfId="2" applyNumberFormat="1" applyFont="1" applyFill="1" applyBorder="1" applyAlignment="1" applyProtection="1">
      <alignment horizontal="right" indent="1"/>
    </xf>
    <xf numFmtId="0" fontId="2" fillId="3" borderId="20" xfId="0" applyFont="1" applyFill="1" applyBorder="1" applyAlignment="1" applyProtection="1">
      <alignment horizontal="center"/>
    </xf>
    <xf numFmtId="168" fontId="0" fillId="3" borderId="0" xfId="0" applyNumberFormat="1" applyFill="1" applyBorder="1" applyAlignment="1" applyProtection="1">
      <alignment horizontal="center"/>
    </xf>
    <xf numFmtId="168" fontId="2" fillId="3" borderId="0" xfId="0" quotePrefix="1" applyNumberFormat="1" applyFont="1" applyFill="1" applyBorder="1" applyAlignment="1" applyProtection="1">
      <alignment horizontal="right" indent="1"/>
    </xf>
    <xf numFmtId="0" fontId="4" fillId="3" borderId="28" xfId="0" quotePrefix="1" applyFont="1" applyFill="1" applyBorder="1" applyAlignment="1" applyProtection="1">
      <alignment wrapText="1"/>
    </xf>
    <xf numFmtId="0" fontId="0" fillId="0" borderId="0" xfId="0" applyBorder="1" applyProtection="1"/>
    <xf numFmtId="0" fontId="0" fillId="2" borderId="0" xfId="0" quotePrefix="1" applyNumberFormat="1" applyFill="1" applyBorder="1" applyAlignment="1" applyProtection="1">
      <alignment horizontal="center"/>
      <protection locked="0"/>
    </xf>
    <xf numFmtId="0" fontId="49" fillId="3" borderId="0" xfId="0" quotePrefix="1" applyFont="1" applyFill="1" applyBorder="1" applyAlignment="1" applyProtection="1">
      <alignment vertical="top" wrapText="1"/>
    </xf>
    <xf numFmtId="0" fontId="49" fillId="3" borderId="0" xfId="0" quotePrefix="1" applyFont="1" applyFill="1" applyBorder="1" applyAlignment="1" applyProtection="1">
      <alignment vertical="top"/>
    </xf>
    <xf numFmtId="0" fontId="4" fillId="3" borderId="15" xfId="0" quotePrefix="1" applyFont="1" applyFill="1" applyBorder="1" applyAlignment="1" applyProtection="1">
      <alignment wrapText="1"/>
    </xf>
    <xf numFmtId="0" fontId="4" fillId="3" borderId="16" xfId="0" quotePrefix="1" applyFont="1" applyFill="1" applyBorder="1" applyAlignment="1" applyProtection="1">
      <alignment wrapText="1"/>
    </xf>
    <xf numFmtId="0" fontId="49" fillId="3" borderId="16" xfId="0" quotePrefix="1" applyFont="1" applyFill="1" applyBorder="1" applyAlignment="1" applyProtection="1">
      <alignment vertical="top" wrapText="1"/>
    </xf>
    <xf numFmtId="0" fontId="49" fillId="3" borderId="16" xfId="0" quotePrefix="1" applyFont="1" applyFill="1" applyBorder="1" applyAlignment="1" applyProtection="1">
      <alignment vertical="top"/>
    </xf>
    <xf numFmtId="0" fontId="4" fillId="3" borderId="17" xfId="0" quotePrefix="1" applyFont="1" applyFill="1" applyBorder="1" applyAlignment="1" applyProtection="1">
      <alignment horizontal="left"/>
    </xf>
    <xf numFmtId="164" fontId="0" fillId="3" borderId="0" xfId="0" applyNumberFormat="1" applyFill="1" applyBorder="1" applyAlignment="1" applyProtection="1">
      <alignment horizontal="right" indent="1"/>
    </xf>
    <xf numFmtId="168" fontId="0" fillId="3" borderId="0" xfId="0" quotePrefix="1" applyNumberFormat="1" applyFill="1" applyBorder="1" applyAlignment="1" applyProtection="1">
      <alignment horizontal="right" indent="1"/>
    </xf>
    <xf numFmtId="1" fontId="0" fillId="3" borderId="0" xfId="0" applyNumberFormat="1" applyFill="1" applyBorder="1" applyAlignment="1" applyProtection="1">
      <alignment horizontal="right" indent="1"/>
    </xf>
    <xf numFmtId="10" fontId="0" fillId="3" borderId="0" xfId="2" quotePrefix="1" applyNumberFormat="1" applyFont="1" applyFill="1" applyBorder="1" applyAlignment="1" applyProtection="1">
      <alignment horizontal="right" indent="1"/>
    </xf>
    <xf numFmtId="196" fontId="0" fillId="3" borderId="0" xfId="2" quotePrefix="1" applyNumberFormat="1" applyFont="1" applyFill="1" applyBorder="1" applyAlignment="1" applyProtection="1">
      <alignment horizontal="right" indent="1"/>
    </xf>
    <xf numFmtId="0" fontId="0" fillId="0" borderId="0" xfId="0" applyBorder="1" applyAlignment="1" applyProtection="1">
      <alignment horizontal="right" indent="1"/>
    </xf>
    <xf numFmtId="0" fontId="49" fillId="3" borderId="0" xfId="0" quotePrefix="1" applyFont="1" applyFill="1" applyBorder="1" applyAlignment="1" applyProtection="1">
      <alignment horizontal="right" vertical="top" wrapText="1" indent="1"/>
    </xf>
    <xf numFmtId="0" fontId="50" fillId="3" borderId="16" xfId="0" applyFont="1" applyFill="1" applyBorder="1" applyAlignment="1" applyProtection="1">
      <alignment horizontal="center" vertical="top"/>
    </xf>
    <xf numFmtId="0" fontId="0" fillId="3" borderId="0" xfId="0" applyFill="1" applyBorder="1" applyAlignment="1" applyProtection="1">
      <alignment horizontal="center" vertical="center"/>
    </xf>
    <xf numFmtId="177" fontId="0" fillId="3" borderId="0" xfId="0" applyNumberFormat="1" applyFill="1" applyBorder="1" applyAlignment="1" applyProtection="1">
      <alignment horizontal="center"/>
      <protection locked="0"/>
    </xf>
    <xf numFmtId="189" fontId="0" fillId="3" borderId="0" xfId="0" applyNumberFormat="1" applyFill="1" applyBorder="1" applyAlignment="1" applyProtection="1">
      <alignment horizontal="center"/>
    </xf>
    <xf numFmtId="189" fontId="0" fillId="3" borderId="43" xfId="0" applyNumberFormat="1" applyFill="1" applyBorder="1" applyAlignment="1" applyProtection="1">
      <alignment horizontal="center"/>
    </xf>
    <xf numFmtId="196" fontId="0" fillId="0" borderId="0" xfId="2" applyNumberFormat="1" applyFont="1" applyProtection="1"/>
    <xf numFmtId="9" fontId="0" fillId="2" borderId="20" xfId="2" applyFont="1" applyFill="1" applyBorder="1" applyAlignment="1" applyProtection="1">
      <alignment horizontal="center"/>
      <protection locked="0"/>
    </xf>
    <xf numFmtId="9" fontId="0" fillId="2" borderId="11" xfId="2" applyFont="1" applyFill="1" applyBorder="1" applyAlignment="1" applyProtection="1">
      <alignment horizontal="center"/>
      <protection locked="0"/>
    </xf>
    <xf numFmtId="0" fontId="18" fillId="3" borderId="0" xfId="0" applyFont="1" applyFill="1" applyBorder="1" applyAlignment="1" applyProtection="1">
      <protection locked="0"/>
    </xf>
    <xf numFmtId="0" fontId="0" fillId="42" borderId="0" xfId="0" applyFill="1"/>
    <xf numFmtId="0" fontId="0" fillId="43" borderId="0" xfId="0" applyFill="1"/>
    <xf numFmtId="0" fontId="0" fillId="44" borderId="0" xfId="0" applyFill="1"/>
    <xf numFmtId="174" fontId="0" fillId="0" borderId="9" xfId="2" applyNumberFormat="1" applyFont="1" applyBorder="1" applyAlignment="1" applyProtection="1">
      <alignment horizontal="center"/>
    </xf>
    <xf numFmtId="180" fontId="0" fillId="0" borderId="10" xfId="0" applyNumberFormat="1" applyBorder="1" applyAlignment="1" applyProtection="1">
      <alignment horizontal="center"/>
    </xf>
    <xf numFmtId="0" fontId="0" fillId="45" borderId="0" xfId="0" applyFill="1"/>
    <xf numFmtId="0" fontId="0" fillId="46" borderId="0" xfId="0" applyFill="1"/>
    <xf numFmtId="0" fontId="0" fillId="47" borderId="0" xfId="0" applyFill="1"/>
    <xf numFmtId="0" fontId="0" fillId="48" borderId="0" xfId="0" applyFill="1"/>
    <xf numFmtId="0" fontId="0" fillId="3" borderId="41" xfId="0" applyFill="1" applyBorder="1" applyAlignment="1">
      <alignment horizontal="left"/>
    </xf>
    <xf numFmtId="0" fontId="48" fillId="3" borderId="0" xfId="0" applyFont="1" applyFill="1"/>
    <xf numFmtId="0" fontId="51" fillId="3" borderId="0" xfId="0" applyFont="1" applyFill="1"/>
    <xf numFmtId="0" fontId="2" fillId="0" borderId="19" xfId="0" applyFont="1" applyFill="1" applyBorder="1" applyAlignment="1" applyProtection="1">
      <alignment horizontal="left" indent="1"/>
    </xf>
    <xf numFmtId="0" fontId="2" fillId="0" borderId="1" xfId="0" applyFont="1" applyFill="1" applyBorder="1" applyAlignment="1" applyProtection="1">
      <alignment horizontal="left" indent="1"/>
    </xf>
    <xf numFmtId="0" fontId="2" fillId="0" borderId="10" xfId="0" applyFont="1" applyBorder="1" applyAlignment="1" applyProtection="1">
      <alignment horizontal="left" indent="1"/>
    </xf>
    <xf numFmtId="188" fontId="52" fillId="2" borderId="18" xfId="0" applyNumberFormat="1" applyFont="1" applyFill="1" applyBorder="1" applyAlignment="1" applyProtection="1">
      <alignment horizontal="center"/>
      <protection locked="0"/>
    </xf>
    <xf numFmtId="167" fontId="0" fillId="49" borderId="1" xfId="0" applyNumberFormat="1" applyFill="1" applyBorder="1" applyAlignment="1" applyProtection="1">
      <alignment horizontal="right" indent="1"/>
      <protection locked="0"/>
    </xf>
    <xf numFmtId="169" fontId="0" fillId="49" borderId="1" xfId="0" applyNumberFormat="1" applyFill="1" applyBorder="1" applyAlignment="1" applyProtection="1">
      <alignment horizontal="center"/>
      <protection locked="0"/>
    </xf>
    <xf numFmtId="170" fontId="0" fillId="49" borderId="20" xfId="0" applyNumberFormat="1" applyFill="1" applyBorder="1" applyAlignment="1" applyProtection="1">
      <alignment horizontal="center"/>
      <protection locked="0"/>
    </xf>
    <xf numFmtId="9" fontId="0" fillId="49" borderId="20" xfId="0" applyNumberFormat="1" applyFill="1" applyBorder="1" applyAlignment="1" applyProtection="1">
      <alignment horizontal="center"/>
      <protection locked="0"/>
    </xf>
    <xf numFmtId="0" fontId="2" fillId="49" borderId="1" xfId="0" applyFont="1" applyFill="1" applyBorder="1" applyAlignment="1" applyProtection="1">
      <alignment horizontal="center"/>
      <protection locked="0"/>
    </xf>
    <xf numFmtId="184" fontId="0" fillId="2" borderId="1" xfId="0" applyNumberFormat="1" applyFont="1" applyFill="1" applyBorder="1" applyAlignment="1" applyProtection="1">
      <alignment horizontal="left" indent="1"/>
      <protection locked="0"/>
    </xf>
    <xf numFmtId="184" fontId="0" fillId="2" borderId="10" xfId="0" applyNumberFormat="1" applyFont="1" applyFill="1" applyBorder="1" applyAlignment="1" applyProtection="1">
      <alignment horizontal="left" indent="1"/>
      <protection locked="0"/>
    </xf>
    <xf numFmtId="184" fontId="0" fillId="49" borderId="1" xfId="0" applyNumberFormat="1" applyFont="1" applyFill="1" applyBorder="1" applyAlignment="1" applyProtection="1">
      <alignment horizontal="center"/>
      <protection locked="0"/>
    </xf>
    <xf numFmtId="184" fontId="0" fillId="49" borderId="10" xfId="0" applyNumberFormat="1" applyFont="1" applyFill="1" applyBorder="1" applyAlignment="1" applyProtection="1">
      <alignment horizontal="center"/>
      <protection locked="0"/>
    </xf>
    <xf numFmtId="9" fontId="0" fillId="49" borderId="11" xfId="0" applyNumberFormat="1" applyFill="1" applyBorder="1" applyAlignment="1" applyProtection="1">
      <alignment horizontal="center"/>
      <protection locked="0"/>
    </xf>
    <xf numFmtId="0" fontId="2" fillId="0" borderId="9" xfId="0" applyFont="1" applyBorder="1" applyAlignment="1" applyProtection="1">
      <alignment horizontal="right" indent="1"/>
    </xf>
    <xf numFmtId="0" fontId="2" fillId="0" borderId="19" xfId="0" applyFont="1" applyBorder="1" applyAlignment="1" applyProtection="1">
      <alignment horizontal="right" indent="1"/>
    </xf>
    <xf numFmtId="0" fontId="0" fillId="3" borderId="0" xfId="0" applyFill="1" applyProtection="1"/>
    <xf numFmtId="175" fontId="2" fillId="0" borderId="1" xfId="0" applyNumberFormat="1" applyFont="1" applyBorder="1" applyAlignment="1" applyProtection="1">
      <alignment horizontal="right" indent="1"/>
    </xf>
    <xf numFmtId="168" fontId="0" fillId="2" borderId="10" xfId="0" applyNumberFormat="1" applyFill="1" applyBorder="1" applyAlignment="1" applyProtection="1">
      <alignment horizontal="right" indent="1"/>
      <protection locked="0"/>
    </xf>
    <xf numFmtId="0" fontId="14" fillId="3" borderId="0" xfId="0" applyFont="1" applyFill="1" applyBorder="1" applyAlignment="1" applyProtection="1">
      <alignment vertical="center"/>
    </xf>
    <xf numFmtId="9" fontId="0" fillId="3" borderId="0" xfId="2" applyFont="1" applyFill="1" applyBorder="1" applyAlignment="1" applyProtection="1">
      <alignment vertical="center"/>
    </xf>
    <xf numFmtId="0" fontId="0" fillId="2" borderId="3" xfId="0" applyFill="1" applyBorder="1" applyProtection="1">
      <protection locked="0"/>
    </xf>
    <xf numFmtId="0" fontId="0" fillId="2" borderId="70" xfId="0" applyFill="1" applyBorder="1" applyProtection="1">
      <protection locked="0"/>
    </xf>
    <xf numFmtId="187" fontId="0" fillId="2" borderId="54" xfId="0" applyNumberFormat="1" applyFill="1" applyBorder="1" applyAlignment="1" applyProtection="1">
      <alignment horizontal="right"/>
      <protection locked="0"/>
    </xf>
    <xf numFmtId="9" fontId="0" fillId="0" borderId="1" xfId="2" applyFont="1" applyBorder="1" applyAlignment="1" applyProtection="1">
      <alignment horizontal="center"/>
    </xf>
    <xf numFmtId="0" fontId="0" fillId="0" borderId="1" xfId="0" applyBorder="1" applyAlignment="1" applyProtection="1">
      <alignment horizontal="center"/>
    </xf>
    <xf numFmtId="2" fontId="0" fillId="0" borderId="20" xfId="0" applyNumberFormat="1" applyBorder="1" applyAlignment="1" applyProtection="1">
      <alignment horizontal="center"/>
    </xf>
    <xf numFmtId="3" fontId="2" fillId="0" borderId="20" xfId="1" applyNumberFormat="1" applyFont="1" applyBorder="1" applyAlignment="1" applyProtection="1">
      <alignment horizontal="center" vertical="center"/>
    </xf>
    <xf numFmtId="0" fontId="0" fillId="0" borderId="10" xfId="0" applyBorder="1" applyAlignment="1" applyProtection="1">
      <alignment horizontal="center"/>
    </xf>
    <xf numFmtId="3" fontId="2" fillId="0" borderId="11" xfId="1" applyNumberFormat="1" applyFont="1" applyBorder="1" applyAlignment="1" applyProtection="1">
      <alignment horizontal="center" vertical="center"/>
    </xf>
    <xf numFmtId="172" fontId="2" fillId="4" borderId="43" xfId="2" applyNumberFormat="1" applyFont="1" applyFill="1" applyBorder="1" applyAlignment="1" applyProtection="1">
      <alignment horizontal="center"/>
    </xf>
    <xf numFmtId="199" fontId="0" fillId="3" borderId="43" xfId="0" applyNumberFormat="1" applyFill="1" applyBorder="1" applyAlignment="1" applyProtection="1">
      <alignment horizontal="center"/>
    </xf>
    <xf numFmtId="10" fontId="25" fillId="0" borderId="0" xfId="0" applyNumberFormat="1" applyFont="1"/>
    <xf numFmtId="197" fontId="1" fillId="3" borderId="1" xfId="2" applyNumberFormat="1" applyFont="1" applyFill="1" applyBorder="1" applyAlignment="1" applyProtection="1">
      <alignment horizontal="right" indent="1"/>
    </xf>
    <xf numFmtId="197" fontId="1" fillId="3" borderId="2" xfId="0" applyNumberFormat="1" applyFont="1" applyFill="1" applyBorder="1" applyAlignment="1" applyProtection="1">
      <alignment horizontal="right" indent="1"/>
    </xf>
    <xf numFmtId="9" fontId="0" fillId="2" borderId="51" xfId="2" applyFont="1" applyFill="1" applyBorder="1" applyAlignment="1" applyProtection="1">
      <alignment horizontal="right" indent="1"/>
      <protection locked="0"/>
    </xf>
    <xf numFmtId="1" fontId="0" fillId="0" borderId="1" xfId="0" applyNumberFormat="1" applyBorder="1" applyAlignment="1" applyProtection="1">
      <alignment horizontal="center" vertical="center"/>
    </xf>
    <xf numFmtId="165" fontId="0" fillId="0" borderId="1" xfId="1" applyNumberFormat="1" applyFont="1" applyBorder="1" applyAlignment="1" applyProtection="1">
      <alignment horizontal="center" vertical="center"/>
    </xf>
    <xf numFmtId="172" fontId="0" fillId="0" borderId="1" xfId="2" applyNumberFormat="1" applyFont="1" applyBorder="1" applyAlignment="1" applyProtection="1">
      <alignment horizontal="center" vertical="center"/>
    </xf>
    <xf numFmtId="0" fontId="0" fillId="2" borderId="51" xfId="0" applyFont="1" applyFill="1" applyBorder="1" applyAlignment="1" applyProtection="1">
      <alignment horizontal="center"/>
      <protection locked="0"/>
    </xf>
    <xf numFmtId="14" fontId="48" fillId="3" borderId="1" xfId="0" applyNumberFormat="1" applyFont="1" applyFill="1" applyBorder="1" applyAlignment="1" applyProtection="1">
      <alignment horizontal="center" vertical="center"/>
      <protection locked="0"/>
    </xf>
    <xf numFmtId="14" fontId="48" fillId="3" borderId="20" xfId="0" applyNumberFormat="1" applyFont="1" applyFill="1" applyBorder="1" applyAlignment="1" applyProtection="1">
      <alignment horizontal="center" vertical="center"/>
      <protection locked="0"/>
    </xf>
    <xf numFmtId="195" fontId="48" fillId="3" borderId="1" xfId="0" applyNumberFormat="1" applyFont="1" applyFill="1" applyBorder="1" applyAlignment="1" applyProtection="1">
      <alignment horizontal="center" vertical="center"/>
      <protection locked="0"/>
    </xf>
    <xf numFmtId="195" fontId="48" fillId="3" borderId="20" xfId="0" applyNumberFormat="1" applyFont="1" applyFill="1" applyBorder="1" applyAlignment="1" applyProtection="1">
      <alignment horizontal="center" vertical="center"/>
      <protection locked="0"/>
    </xf>
    <xf numFmtId="195" fontId="54" fillId="3" borderId="10" xfId="0" applyNumberFormat="1" applyFont="1" applyFill="1" applyBorder="1" applyAlignment="1" applyProtection="1">
      <alignment horizontal="center" vertical="center"/>
      <protection locked="0"/>
    </xf>
    <xf numFmtId="195" fontId="54" fillId="3" borderId="1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xf>
    <xf numFmtId="0" fontId="2" fillId="0" borderId="7" xfId="0" applyFont="1" applyBorder="1" applyAlignment="1">
      <alignment horizontal="center"/>
    </xf>
    <xf numFmtId="0" fontId="2" fillId="0" borderId="8" xfId="0" applyFont="1" applyBorder="1" applyAlignment="1">
      <alignment horizontal="center"/>
    </xf>
    <xf numFmtId="0" fontId="0" fillId="0" borderId="19" xfId="0" quotePrefix="1" applyBorder="1"/>
    <xf numFmtId="178" fontId="0" fillId="0" borderId="44" xfId="1" applyNumberFormat="1" applyFont="1" applyFill="1" applyBorder="1"/>
    <xf numFmtId="0" fontId="0" fillId="0" borderId="44" xfId="0" applyBorder="1"/>
    <xf numFmtId="0" fontId="0" fillId="0" borderId="10" xfId="0" applyBorder="1"/>
    <xf numFmtId="0" fontId="0" fillId="3" borderId="0" xfId="0" applyFill="1" applyProtection="1"/>
    <xf numFmtId="0" fontId="0" fillId="3" borderId="0" xfId="0" applyFill="1" applyBorder="1" applyAlignment="1" applyProtection="1">
      <alignment horizontal="left" vertical="center" indent="1"/>
    </xf>
    <xf numFmtId="199" fontId="0" fillId="3" borderId="71" xfId="0" applyNumberFormat="1" applyFill="1" applyBorder="1" applyAlignment="1" applyProtection="1">
      <alignment horizontal="center"/>
    </xf>
    <xf numFmtId="177" fontId="0" fillId="2" borderId="10" xfId="0" applyNumberFormat="1" applyFill="1" applyBorder="1" applyAlignment="1" applyProtection="1">
      <alignment horizontal="center"/>
      <protection locked="0"/>
    </xf>
    <xf numFmtId="184" fontId="0" fillId="3" borderId="10" xfId="0" applyNumberFormat="1" applyFill="1" applyBorder="1" applyAlignment="1" applyProtection="1">
      <alignment horizontal="center"/>
    </xf>
    <xf numFmtId="189" fontId="0" fillId="4" borderId="10" xfId="0" applyNumberFormat="1" applyFill="1" applyBorder="1" applyAlignment="1" applyProtection="1">
      <alignment horizontal="center"/>
    </xf>
    <xf numFmtId="0" fontId="0" fillId="3" borderId="10" xfId="0" applyFill="1" applyBorder="1" applyAlignment="1" applyProtection="1">
      <alignment horizontal="center"/>
    </xf>
    <xf numFmtId="189" fontId="0" fillId="3" borderId="11" xfId="0" applyNumberFormat="1" applyFill="1" applyBorder="1" applyAlignment="1" applyProtection="1">
      <alignment horizontal="center"/>
    </xf>
    <xf numFmtId="0" fontId="0" fillId="3" borderId="8" xfId="0" applyFill="1" applyBorder="1" applyAlignment="1" applyProtection="1">
      <alignment horizontal="center" vertical="center"/>
    </xf>
    <xf numFmtId="0" fontId="0" fillId="3" borderId="0" xfId="0" applyFill="1" applyProtection="1"/>
    <xf numFmtId="2" fontId="0" fillId="0" borderId="10" xfId="0" applyNumberFormat="1" applyBorder="1" applyAlignment="1" applyProtection="1">
      <alignment horizontal="center" vertical="center"/>
    </xf>
    <xf numFmtId="200" fontId="0" fillId="3" borderId="11" xfId="0" applyNumberFormat="1" applyFill="1" applyBorder="1" applyAlignment="1" applyProtection="1">
      <alignment horizontal="center"/>
    </xf>
    <xf numFmtId="0" fontId="7" fillId="3" borderId="0" xfId="3" applyFill="1" applyBorder="1" applyAlignment="1" applyProtection="1">
      <alignment horizontal="center"/>
    </xf>
    <xf numFmtId="0" fontId="0" fillId="3" borderId="0" xfId="0" applyFill="1" applyAlignment="1">
      <alignment horizontal="right"/>
    </xf>
    <xf numFmtId="0" fontId="2" fillId="3" borderId="72" xfId="0" applyFont="1" applyFill="1" applyBorder="1" applyAlignment="1">
      <alignment horizontal="center"/>
    </xf>
    <xf numFmtId="0" fontId="2" fillId="3" borderId="73" xfId="0" applyFont="1" applyFill="1" applyBorder="1" applyAlignment="1">
      <alignment horizontal="center"/>
    </xf>
    <xf numFmtId="0" fontId="0" fillId="3" borderId="0" xfId="0" applyFill="1" applyAlignment="1">
      <alignment horizontal="right" vertical="center" indent="1"/>
    </xf>
    <xf numFmtId="0" fontId="2" fillId="3" borderId="73" xfId="0" applyFont="1" applyFill="1" applyBorder="1" applyAlignment="1">
      <alignment horizontal="right" vertical="center" indent="1"/>
    </xf>
    <xf numFmtId="177" fontId="0" fillId="3" borderId="7" xfId="1" applyNumberFormat="1" applyFont="1" applyFill="1" applyBorder="1" applyAlignment="1">
      <alignment horizontal="right" vertical="center" indent="1"/>
    </xf>
    <xf numFmtId="0" fontId="0" fillId="3" borderId="1" xfId="0" applyFill="1" applyBorder="1" applyAlignment="1">
      <alignment horizontal="right" vertical="center" indent="1"/>
    </xf>
    <xf numFmtId="0" fontId="0" fillId="3" borderId="10" xfId="0" applyFill="1" applyBorder="1" applyAlignment="1">
      <alignment horizontal="right" vertical="center" indent="1"/>
    </xf>
    <xf numFmtId="182" fontId="0" fillId="49" borderId="1" xfId="1" applyNumberFormat="1" applyFont="1" applyFill="1" applyBorder="1" applyAlignment="1" applyProtection="1">
      <alignment horizontal="center"/>
      <protection locked="0"/>
    </xf>
    <xf numFmtId="182" fontId="0" fillId="49" borderId="2" xfId="1" applyNumberFormat="1" applyFont="1" applyFill="1" applyBorder="1" applyAlignment="1" applyProtection="1">
      <alignment horizontal="center"/>
      <protection locked="0"/>
    </xf>
    <xf numFmtId="168" fontId="0" fillId="2" borderId="9" xfId="0" applyNumberFormat="1" applyFill="1" applyBorder="1" applyAlignment="1" applyProtection="1">
      <protection locked="0"/>
    </xf>
    <xf numFmtId="0" fontId="6" fillId="51" borderId="0" xfId="0" applyFont="1" applyFill="1"/>
    <xf numFmtId="0" fontId="0" fillId="0" borderId="44" xfId="0" applyFill="1" applyBorder="1"/>
    <xf numFmtId="0" fontId="0" fillId="0" borderId="75" xfId="0" applyFill="1" applyBorder="1"/>
    <xf numFmtId="0" fontId="25" fillId="36" borderId="36" xfId="0" applyFont="1" applyFill="1" applyBorder="1" applyAlignment="1" applyProtection="1">
      <alignment horizontal="left" indent="1"/>
      <protection locked="0"/>
    </xf>
    <xf numFmtId="0" fontId="25" fillId="36" borderId="3" xfId="0" applyFont="1" applyFill="1" applyBorder="1" applyAlignment="1" applyProtection="1">
      <alignment horizontal="left" indent="1"/>
      <protection locked="0"/>
    </xf>
    <xf numFmtId="0" fontId="2" fillId="0" borderId="23" xfId="0" applyFont="1" applyBorder="1" applyAlignment="1" applyProtection="1">
      <alignment horizontal="center"/>
    </xf>
    <xf numFmtId="0" fontId="14" fillId="3" borderId="0" xfId="0" applyFont="1" applyFill="1" applyBorder="1" applyAlignment="1" applyProtection="1">
      <alignment horizontal="left" vertical="center"/>
    </xf>
    <xf numFmtId="164" fontId="0" fillId="0" borderId="20" xfId="0" applyNumberFormat="1" applyBorder="1" applyAlignment="1" applyProtection="1">
      <alignment horizontal="center"/>
    </xf>
    <xf numFmtId="0" fontId="0" fillId="3" borderId="0" xfId="0" applyFill="1" applyBorder="1" applyAlignment="1" applyProtection="1"/>
    <xf numFmtId="0" fontId="0" fillId="3" borderId="0" xfId="0" applyFill="1" applyProtection="1"/>
    <xf numFmtId="0" fontId="2" fillId="3" borderId="1" xfId="0" applyFont="1" applyFill="1" applyBorder="1" applyAlignment="1" applyProtection="1">
      <alignment horizontal="center"/>
    </xf>
    <xf numFmtId="0" fontId="2" fillId="3" borderId="0" xfId="0" applyFont="1" applyFill="1" applyBorder="1" applyAlignment="1" applyProtection="1">
      <alignment horizontal="center"/>
    </xf>
    <xf numFmtId="0" fontId="0" fillId="3" borderId="0" xfId="0" applyFill="1" applyProtection="1"/>
    <xf numFmtId="0" fontId="0" fillId="3" borderId="0" xfId="0" applyFill="1" applyBorder="1" applyAlignment="1" applyProtection="1">
      <alignment wrapText="1"/>
    </xf>
    <xf numFmtId="0" fontId="0" fillId="3" borderId="0" xfId="0" applyFill="1" applyBorder="1" applyAlignment="1" applyProtection="1"/>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3" borderId="19" xfId="0" applyFill="1" applyBorder="1" applyAlignment="1">
      <alignment horizontal="left" vertical="center"/>
    </xf>
    <xf numFmtId="0" fontId="0" fillId="3" borderId="20" xfId="0" applyFill="1" applyBorder="1" applyAlignment="1">
      <alignment horizontal="left" vertical="center"/>
    </xf>
    <xf numFmtId="0" fontId="0" fillId="3" borderId="9" xfId="0" applyFill="1" applyBorder="1" applyAlignment="1">
      <alignment horizontal="left" vertical="center"/>
    </xf>
    <xf numFmtId="0" fontId="0" fillId="3" borderId="11" xfId="0" applyFill="1" applyBorder="1" applyAlignment="1">
      <alignment horizontal="left" vertical="center"/>
    </xf>
    <xf numFmtId="0" fontId="2" fillId="3" borderId="0" xfId="0" applyFont="1" applyFill="1" applyAlignment="1">
      <alignment horizontal="right" vertical="center" indent="1"/>
    </xf>
    <xf numFmtId="0" fontId="2" fillId="3" borderId="0" xfId="0" applyFont="1" applyFill="1" applyAlignment="1">
      <alignment horizontal="right" indent="1"/>
    </xf>
    <xf numFmtId="0" fontId="0" fillId="3" borderId="6" xfId="0" applyFill="1" applyBorder="1"/>
    <xf numFmtId="0" fontId="0" fillId="3" borderId="9" xfId="0" applyFill="1" applyBorder="1"/>
    <xf numFmtId="0" fontId="0" fillId="3" borderId="6" xfId="0" applyFill="1" applyBorder="1" applyAlignment="1">
      <alignment horizontal="left" indent="1"/>
    </xf>
    <xf numFmtId="0" fontId="0" fillId="3" borderId="19" xfId="0" applyFill="1" applyBorder="1" applyAlignment="1">
      <alignment horizontal="left" indent="1"/>
    </xf>
    <xf numFmtId="0" fontId="0" fillId="3" borderId="9" xfId="0" applyFill="1" applyBorder="1" applyAlignment="1">
      <alignment horizontal="left" indent="1"/>
    </xf>
    <xf numFmtId="0" fontId="0" fillId="3" borderId="6" xfId="0" applyFill="1" applyBorder="1" applyAlignment="1">
      <alignment horizontal="right" indent="1"/>
    </xf>
    <xf numFmtId="0" fontId="0" fillId="3" borderId="19" xfId="0" applyFill="1" applyBorder="1" applyAlignment="1">
      <alignment horizontal="right" indent="1"/>
    </xf>
    <xf numFmtId="0" fontId="0" fillId="3" borderId="9" xfId="0" applyFill="1" applyBorder="1" applyAlignment="1">
      <alignment horizontal="right" indent="1"/>
    </xf>
    <xf numFmtId="192" fontId="0" fillId="3" borderId="8" xfId="0" applyNumberFormat="1" applyFill="1" applyBorder="1" applyAlignment="1" applyProtection="1">
      <alignment horizontal="left" indent="1"/>
      <protection locked="0"/>
    </xf>
    <xf numFmtId="192" fontId="0" fillId="3" borderId="20" xfId="0" applyNumberFormat="1" applyFill="1" applyBorder="1" applyAlignment="1" applyProtection="1">
      <alignment horizontal="left" indent="1"/>
      <protection locked="0"/>
    </xf>
    <xf numFmtId="192" fontId="0" fillId="3" borderId="11" xfId="0" applyNumberFormat="1" applyFill="1" applyBorder="1" applyAlignment="1" applyProtection="1">
      <alignment horizontal="left" indent="1"/>
      <protection locked="0"/>
    </xf>
    <xf numFmtId="201" fontId="0" fillId="3" borderId="8" xfId="0" applyNumberFormat="1" applyFill="1" applyBorder="1" applyAlignment="1">
      <alignment horizontal="left" indent="1"/>
    </xf>
    <xf numFmtId="201" fontId="0" fillId="3" borderId="11" xfId="0" applyNumberFormat="1" applyFill="1" applyBorder="1" applyAlignment="1">
      <alignment horizontal="left" indent="1"/>
    </xf>
    <xf numFmtId="201" fontId="0" fillId="3" borderId="8" xfId="0" applyNumberFormat="1" applyFill="1" applyBorder="1" applyAlignment="1" applyProtection="1">
      <alignment horizontal="left" indent="1"/>
      <protection locked="0"/>
    </xf>
    <xf numFmtId="201" fontId="0" fillId="3" borderId="20" xfId="0" applyNumberFormat="1" applyFill="1" applyBorder="1" applyAlignment="1" applyProtection="1">
      <alignment horizontal="left" indent="1"/>
      <protection locked="0"/>
    </xf>
    <xf numFmtId="201" fontId="0" fillId="3" borderId="11" xfId="0" applyNumberFormat="1" applyFill="1" applyBorder="1" applyAlignment="1" applyProtection="1">
      <alignment horizontal="left" indent="1"/>
      <protection locked="0"/>
    </xf>
    <xf numFmtId="0" fontId="0" fillId="0" borderId="6" xfId="0" applyBorder="1" applyAlignment="1" applyProtection="1">
      <alignment vertical="center"/>
    </xf>
    <xf numFmtId="169" fontId="0" fillId="3" borderId="1" xfId="0" applyNumberFormat="1" applyFill="1" applyBorder="1" applyAlignment="1" applyProtection="1">
      <alignment horizontal="center" vertical="center"/>
      <protection locked="0"/>
    </xf>
    <xf numFmtId="170" fontId="0" fillId="0" borderId="1" xfId="0" applyNumberFormat="1" applyBorder="1" applyAlignment="1" applyProtection="1">
      <alignment horizontal="center" vertical="center"/>
    </xf>
    <xf numFmtId="170" fontId="0" fillId="0" borderId="10" xfId="0" applyNumberFormat="1" applyBorder="1" applyAlignment="1" applyProtection="1">
      <alignment horizontal="center" vertical="center"/>
    </xf>
    <xf numFmtId="0" fontId="0" fillId="3" borderId="0" xfId="0" applyFill="1" applyAlignment="1">
      <alignment horizontal="center" vertical="center"/>
    </xf>
    <xf numFmtId="0" fontId="2" fillId="0" borderId="7" xfId="0" applyFont="1" applyBorder="1" applyAlignment="1" applyProtection="1">
      <alignment horizontal="center" vertical="center"/>
    </xf>
    <xf numFmtId="0" fontId="2" fillId="3" borderId="8" xfId="0" applyFont="1" applyFill="1" applyBorder="1" applyAlignment="1">
      <alignment horizontal="center" vertical="center"/>
    </xf>
    <xf numFmtId="0" fontId="0" fillId="3" borderId="0" xfId="0" applyFill="1" applyAlignment="1">
      <alignment horizontal="left"/>
    </xf>
    <xf numFmtId="0" fontId="0" fillId="3" borderId="19" xfId="0" applyFill="1" applyBorder="1"/>
    <xf numFmtId="192" fontId="0" fillId="3" borderId="8" xfId="0" applyNumberFormat="1" applyFill="1" applyBorder="1" applyAlignment="1">
      <alignment horizontal="left" indent="1"/>
    </xf>
    <xf numFmtId="192" fontId="0" fillId="3" borderId="20" xfId="0" applyNumberFormat="1" applyFill="1" applyBorder="1" applyAlignment="1">
      <alignment horizontal="left" indent="1"/>
    </xf>
    <xf numFmtId="192" fontId="0" fillId="3" borderId="11" xfId="0" applyNumberFormat="1" applyFill="1" applyBorder="1" applyAlignment="1">
      <alignment horizontal="left" indent="1"/>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64" xfId="0" applyFill="1" applyBorder="1" applyAlignment="1">
      <alignment horizontal="center" vertical="center"/>
    </xf>
    <xf numFmtId="0" fontId="0" fillId="3" borderId="18" xfId="0" applyFill="1" applyBorder="1" applyAlignment="1">
      <alignment horizontal="center" vertical="center"/>
    </xf>
    <xf numFmtId="192" fontId="0" fillId="3" borderId="1" xfId="0" applyNumberFormat="1" applyFill="1" applyBorder="1" applyAlignment="1">
      <alignment horizontal="center" vertical="center"/>
    </xf>
    <xf numFmtId="192" fontId="0" fillId="3" borderId="7" xfId="0" applyNumberFormat="1" applyFill="1" applyBorder="1" applyAlignment="1">
      <alignment horizontal="center" vertical="center"/>
    </xf>
    <xf numFmtId="192" fontId="0" fillId="3" borderId="10" xfId="0" applyNumberFormat="1" applyFill="1" applyBorder="1" applyAlignment="1">
      <alignment horizontal="center" vertical="center"/>
    </xf>
    <xf numFmtId="170" fontId="0" fillId="2" borderId="26" xfId="0" applyNumberFormat="1" applyFill="1" applyBorder="1" applyAlignment="1" applyProtection="1">
      <protection locked="0"/>
    </xf>
    <xf numFmtId="192" fontId="2" fillId="3" borderId="49" xfId="0" applyNumberFormat="1" applyFont="1" applyFill="1" applyBorder="1" applyAlignment="1" applyProtection="1">
      <alignment horizontal="center"/>
    </xf>
    <xf numFmtId="0" fontId="2" fillId="49" borderId="3" xfId="0" applyFont="1" applyFill="1" applyBorder="1" applyAlignment="1" applyProtection="1">
      <alignment horizontal="center"/>
      <protection locked="0"/>
    </xf>
    <xf numFmtId="182" fontId="0" fillId="49" borderId="3" xfId="1" applyNumberFormat="1" applyFont="1" applyFill="1" applyBorder="1" applyAlignment="1" applyProtection="1">
      <alignment horizontal="center"/>
      <protection locked="0"/>
    </xf>
    <xf numFmtId="171" fontId="0" fillId="49" borderId="3" xfId="1" applyNumberFormat="1" applyFont="1" applyFill="1" applyBorder="1" applyAlignment="1" applyProtection="1">
      <alignment horizontal="center"/>
      <protection locked="0"/>
    </xf>
    <xf numFmtId="170" fontId="0" fillId="49" borderId="8" xfId="0" applyNumberFormat="1" applyFill="1" applyBorder="1" applyAlignment="1" applyProtection="1">
      <protection locked="0"/>
    </xf>
    <xf numFmtId="0" fontId="2" fillId="0" borderId="20" xfId="0" applyFont="1" applyBorder="1" applyAlignment="1" applyProtection="1">
      <alignment horizontal="center"/>
    </xf>
    <xf numFmtId="172" fontId="0" fillId="49" borderId="20" xfId="2" applyNumberFormat="1" applyFont="1" applyFill="1" applyBorder="1" applyAlignment="1" applyProtection="1">
      <alignment horizontal="center"/>
      <protection locked="0"/>
    </xf>
    <xf numFmtId="172" fontId="0" fillId="49" borderId="11" xfId="2" applyNumberFormat="1" applyFont="1" applyFill="1" applyBorder="1" applyAlignment="1" applyProtection="1">
      <alignment horizontal="center"/>
      <protection locked="0"/>
    </xf>
    <xf numFmtId="0" fontId="0" fillId="3" borderId="26" xfId="0" applyFill="1" applyBorder="1" applyAlignment="1">
      <alignment horizontal="center" vertical="center"/>
    </xf>
    <xf numFmtId="0" fontId="0" fillId="3" borderId="30" xfId="0" applyFill="1" applyBorder="1" applyAlignment="1">
      <alignment horizontal="center" vertical="center"/>
    </xf>
    <xf numFmtId="192" fontId="0" fillId="3" borderId="26" xfId="0" applyNumberFormat="1" applyFill="1" applyBorder="1" applyAlignment="1">
      <alignment horizontal="center" vertical="center"/>
    </xf>
    <xf numFmtId="192" fontId="0" fillId="3" borderId="79" xfId="0" applyNumberFormat="1" applyFill="1" applyBorder="1" applyAlignment="1">
      <alignment horizontal="center" vertical="center"/>
    </xf>
    <xf numFmtId="192" fontId="0" fillId="3" borderId="2" xfId="0" applyNumberFormat="1" applyFill="1" applyBorder="1" applyAlignment="1">
      <alignment horizontal="center" vertical="center"/>
    </xf>
    <xf numFmtId="192" fontId="0" fillId="3" borderId="77" xfId="0" applyNumberFormat="1" applyFill="1" applyBorder="1" applyAlignment="1">
      <alignment horizontal="center" vertical="center"/>
    </xf>
    <xf numFmtId="192" fontId="0" fillId="3" borderId="51" xfId="0" applyNumberFormat="1" applyFill="1" applyBorder="1" applyAlignment="1">
      <alignment horizontal="center" vertical="center"/>
    </xf>
    <xf numFmtId="192" fontId="0" fillId="3" borderId="78" xfId="0" applyNumberFormat="1" applyFill="1" applyBorder="1" applyAlignment="1">
      <alignment horizontal="center" vertical="center"/>
    </xf>
    <xf numFmtId="192" fontId="0" fillId="3" borderId="0" xfId="0" applyNumberFormat="1" applyFill="1" applyBorder="1" applyAlignment="1">
      <alignment horizontal="left" indent="1"/>
    </xf>
    <xf numFmtId="0" fontId="0" fillId="3" borderId="20" xfId="0" applyFill="1" applyBorder="1" applyAlignment="1">
      <alignment horizontal="center" vertical="center"/>
    </xf>
    <xf numFmtId="0" fontId="0" fillId="0" borderId="10" xfId="0" applyFont="1" applyBorder="1" applyAlignment="1" applyProtection="1"/>
    <xf numFmtId="0" fontId="0" fillId="0" borderId="1" xfId="0" applyFont="1" applyBorder="1" applyAlignment="1" applyProtection="1"/>
    <xf numFmtId="0" fontId="0" fillId="0" borderId="1" xfId="0" applyBorder="1" applyProtection="1"/>
    <xf numFmtId="0" fontId="0" fillId="0" borderId="7" xfId="0" applyFont="1" applyBorder="1" applyAlignment="1" applyProtection="1">
      <alignment horizontal="center"/>
    </xf>
    <xf numFmtId="192" fontId="0" fillId="3" borderId="0" xfId="0" applyNumberFormat="1" applyFont="1" applyFill="1" applyBorder="1" applyAlignment="1" applyProtection="1"/>
    <xf numFmtId="0" fontId="2" fillId="0" borderId="19" xfId="0" applyFont="1" applyBorder="1" applyProtection="1"/>
    <xf numFmtId="0" fontId="2" fillId="3" borderId="9" xfId="0" applyFont="1" applyFill="1" applyBorder="1" applyProtection="1"/>
    <xf numFmtId="202" fontId="0" fillId="3" borderId="0" xfId="0" applyNumberFormat="1" applyFill="1" applyBorder="1" applyProtection="1"/>
    <xf numFmtId="0" fontId="0" fillId="3" borderId="26" xfId="0" applyFont="1" applyFill="1" applyBorder="1" applyAlignment="1" applyProtection="1">
      <alignment horizontal="center"/>
    </xf>
    <xf numFmtId="171" fontId="0" fillId="3" borderId="51" xfId="0" applyNumberFormat="1" applyFont="1" applyFill="1" applyBorder="1" applyAlignment="1" applyProtection="1">
      <alignment horizontal="center"/>
    </xf>
    <xf numFmtId="192" fontId="0" fillId="3" borderId="78" xfId="0" applyNumberFormat="1" applyFont="1" applyFill="1" applyBorder="1" applyAlignment="1" applyProtection="1">
      <alignment horizontal="right" indent="1"/>
    </xf>
    <xf numFmtId="192" fontId="0" fillId="3" borderId="11" xfId="0" applyNumberFormat="1" applyFont="1" applyFill="1" applyBorder="1" applyAlignment="1" applyProtection="1">
      <alignment horizontal="right" indent="1"/>
    </xf>
    <xf numFmtId="0" fontId="0" fillId="3" borderId="23" xfId="0" applyFont="1" applyFill="1" applyBorder="1" applyAlignment="1" applyProtection="1">
      <alignment horizontal="center"/>
    </xf>
    <xf numFmtId="0" fontId="0" fillId="3" borderId="1" xfId="0" applyFill="1" applyBorder="1" applyAlignment="1" applyProtection="1"/>
    <xf numFmtId="0" fontId="0" fillId="3" borderId="7" xfId="0" applyFill="1" applyBorder="1" applyProtection="1"/>
    <xf numFmtId="0" fontId="2" fillId="3" borderId="8" xfId="0" applyFont="1" applyFill="1" applyBorder="1" applyAlignment="1" applyProtection="1">
      <alignment horizontal="center"/>
    </xf>
    <xf numFmtId="0" fontId="0" fillId="3" borderId="19" xfId="0" applyFill="1" applyBorder="1" applyAlignment="1" applyProtection="1"/>
    <xf numFmtId="182" fontId="25" fillId="3" borderId="20" xfId="0" applyNumberFormat="1" applyFont="1" applyFill="1" applyBorder="1" applyAlignment="1" applyProtection="1"/>
    <xf numFmtId="0" fontId="2" fillId="0" borderId="19" xfId="0" applyFont="1" applyBorder="1" applyAlignment="1" applyProtection="1"/>
    <xf numFmtId="168" fontId="0" fillId="2" borderId="20" xfId="0" applyNumberFormat="1" applyFont="1" applyFill="1" applyBorder="1" applyAlignment="1" applyProtection="1">
      <alignment horizontal="right" indent="1"/>
      <protection locked="0"/>
    </xf>
    <xf numFmtId="184" fontId="0" fillId="3" borderId="32" xfId="0" applyNumberFormat="1" applyFont="1" applyFill="1" applyBorder="1" applyAlignment="1" applyProtection="1">
      <alignment horizontal="center"/>
      <protection locked="0"/>
    </xf>
    <xf numFmtId="184" fontId="0" fillId="3" borderId="2" xfId="0" applyNumberFormat="1" applyFont="1" applyFill="1" applyBorder="1" applyAlignment="1" applyProtection="1">
      <alignment horizontal="center"/>
      <protection locked="0"/>
    </xf>
    <xf numFmtId="184" fontId="0" fillId="3" borderId="30" xfId="0" applyNumberFormat="1" applyFont="1" applyFill="1" applyBorder="1" applyAlignment="1" applyProtection="1">
      <alignment horizontal="center"/>
      <protection locked="0"/>
    </xf>
    <xf numFmtId="0" fontId="2" fillId="3" borderId="79" xfId="0" applyFont="1" applyFill="1" applyBorder="1" applyAlignment="1" applyProtection="1">
      <alignment horizontal="center"/>
    </xf>
    <xf numFmtId="0" fontId="0" fillId="3" borderId="77" xfId="0" applyFill="1" applyBorder="1" applyProtection="1"/>
    <xf numFmtId="202" fontId="0" fillId="3" borderId="77" xfId="0" applyNumberFormat="1" applyFont="1" applyFill="1" applyBorder="1" applyAlignment="1" applyProtection="1">
      <alignment horizontal="right" indent="1"/>
    </xf>
    <xf numFmtId="202" fontId="0" fillId="2" borderId="52" xfId="0" applyNumberFormat="1" applyFont="1" applyFill="1" applyBorder="1" applyAlignment="1" applyProtection="1">
      <alignment horizontal="center" vertical="center"/>
      <protection locked="0"/>
    </xf>
    <xf numFmtId="202" fontId="0" fillId="2" borderId="20" xfId="0" applyNumberFormat="1" applyFont="1" applyFill="1" applyBorder="1" applyAlignment="1" applyProtection="1">
      <alignment horizontal="right" indent="1"/>
      <protection locked="0"/>
    </xf>
    <xf numFmtId="168" fontId="0" fillId="3" borderId="77" xfId="0" applyNumberFormat="1" applyFont="1" applyFill="1" applyBorder="1" applyAlignment="1" applyProtection="1">
      <alignment horizontal="right" indent="1"/>
    </xf>
    <xf numFmtId="0" fontId="0" fillId="3" borderId="0" xfId="0" applyFill="1" applyProtection="1"/>
    <xf numFmtId="0" fontId="16" fillId="3" borderId="1" xfId="0" applyFont="1" applyFill="1" applyBorder="1" applyAlignment="1">
      <alignment horizontal="center"/>
    </xf>
    <xf numFmtId="0" fontId="16" fillId="3" borderId="20" xfId="0" applyFont="1" applyFill="1" applyBorder="1" applyAlignment="1">
      <alignment horizontal="center"/>
    </xf>
    <xf numFmtId="0" fontId="16" fillId="3" borderId="19" xfId="0" applyFont="1" applyFill="1" applyBorder="1" applyAlignment="1">
      <alignment horizontal="center"/>
    </xf>
    <xf numFmtId="182" fontId="2" fillId="3" borderId="42" xfId="0" applyNumberFormat="1" applyFont="1" applyFill="1" applyBorder="1" applyAlignment="1">
      <alignment horizontal="center"/>
    </xf>
    <xf numFmtId="0" fontId="2" fillId="3" borderId="47" xfId="0" applyFont="1" applyFill="1" applyBorder="1" applyAlignment="1">
      <alignment horizontal="center"/>
    </xf>
    <xf numFmtId="0" fontId="2" fillId="3" borderId="48" xfId="0" applyFont="1" applyFill="1" applyBorder="1" applyAlignment="1">
      <alignment horizontal="center"/>
    </xf>
    <xf numFmtId="0" fontId="0" fillId="2" borderId="9" xfId="0" applyFill="1" applyBorder="1" applyProtection="1">
      <protection locked="0"/>
    </xf>
    <xf numFmtId="0" fontId="0" fillId="2" borderId="10" xfId="0" applyFill="1" applyBorder="1" applyProtection="1">
      <protection locked="0"/>
    </xf>
    <xf numFmtId="0" fontId="0" fillId="2" borderId="19" xfId="0" applyFill="1" applyBorder="1" applyProtection="1">
      <protection locked="0"/>
    </xf>
    <xf numFmtId="0" fontId="0" fillId="2" borderId="1" xfId="0" applyFill="1" applyBorder="1" applyProtection="1">
      <protection locked="0"/>
    </xf>
    <xf numFmtId="0" fontId="25" fillId="36" borderId="19" xfId="0" applyFont="1" applyFill="1" applyBorder="1" applyAlignment="1" applyProtection="1">
      <protection locked="0"/>
    </xf>
    <xf numFmtId="0" fontId="25" fillId="36" borderId="1" xfId="0" applyFont="1" applyFill="1" applyBorder="1" applyAlignment="1" applyProtection="1">
      <protection locked="0"/>
    </xf>
    <xf numFmtId="0" fontId="2" fillId="0" borderId="6" xfId="0" applyFont="1" applyBorder="1" applyAlignment="1">
      <alignment horizontal="left" indent="1"/>
    </xf>
    <xf numFmtId="0" fontId="2" fillId="0" borderId="7" xfId="0" applyFont="1" applyBorder="1" applyAlignment="1">
      <alignment horizontal="left" indent="1"/>
    </xf>
    <xf numFmtId="0" fontId="2" fillId="0" borderId="8" xfId="0" applyFont="1" applyBorder="1" applyAlignment="1">
      <alignment horizontal="left" indent="1"/>
    </xf>
    <xf numFmtId="0" fontId="2" fillId="0" borderId="19" xfId="0" applyFont="1" applyBorder="1" applyAlignment="1">
      <alignment horizontal="left" indent="1"/>
    </xf>
    <xf numFmtId="0" fontId="2" fillId="0" borderId="1" xfId="0" applyFont="1" applyBorder="1" applyAlignment="1">
      <alignment horizontal="left" indent="1"/>
    </xf>
    <xf numFmtId="0" fontId="2" fillId="0" borderId="2" xfId="0" applyFont="1" applyBorder="1" applyAlignment="1">
      <alignment horizontal="left" indent="1"/>
    </xf>
    <xf numFmtId="0" fontId="0" fillId="41" borderId="42" xfId="0" applyFont="1" applyFill="1" applyBorder="1" applyAlignment="1" applyProtection="1">
      <alignment horizontal="left" indent="1"/>
      <protection locked="0"/>
    </xf>
    <xf numFmtId="0" fontId="0" fillId="41" borderId="47" xfId="0" applyFont="1" applyFill="1" applyBorder="1" applyAlignment="1" applyProtection="1">
      <alignment horizontal="left" indent="1"/>
      <protection locked="0"/>
    </xf>
    <xf numFmtId="0" fontId="0" fillId="4" borderId="6" xfId="0" applyFill="1" applyBorder="1" applyAlignment="1" applyProtection="1">
      <alignment horizontal="center" vertical="top" wrapText="1"/>
    </xf>
    <xf numFmtId="0" fontId="0" fillId="4" borderId="19" xfId="0" applyFill="1" applyBorder="1" applyAlignment="1" applyProtection="1">
      <alignment horizontal="center" vertical="top" wrapText="1"/>
    </xf>
    <xf numFmtId="0" fontId="0" fillId="4" borderId="9" xfId="0" applyFill="1" applyBorder="1" applyAlignment="1" applyProtection="1">
      <alignment horizontal="center" vertical="top" wrapText="1"/>
    </xf>
    <xf numFmtId="0" fontId="0" fillId="2" borderId="19" xfId="0" applyFill="1" applyBorder="1" applyAlignment="1" applyProtection="1">
      <alignment horizontal="left" indent="1"/>
      <protection locked="0"/>
    </xf>
    <xf numFmtId="0" fontId="0" fillId="2" borderId="1" xfId="0" applyFill="1" applyBorder="1" applyAlignment="1" applyProtection="1">
      <alignment horizontal="left" indent="1"/>
      <protection locked="0"/>
    </xf>
    <xf numFmtId="0" fontId="2" fillId="3" borderId="21" xfId="0" applyFont="1" applyFill="1" applyBorder="1" applyAlignment="1" applyProtection="1">
      <alignment horizontal="center"/>
    </xf>
    <xf numFmtId="0" fontId="2" fillId="3" borderId="22" xfId="0" applyFont="1" applyFill="1" applyBorder="1" applyAlignment="1" applyProtection="1">
      <alignment horizontal="center"/>
    </xf>
    <xf numFmtId="0" fontId="2" fillId="3" borderId="57" xfId="0" applyFont="1" applyFill="1" applyBorder="1" applyAlignment="1" applyProtection="1">
      <alignment horizontal="center"/>
    </xf>
    <xf numFmtId="0" fontId="0" fillId="2" borderId="36" xfId="0" applyFont="1" applyFill="1" applyBorder="1" applyAlignment="1" applyProtection="1">
      <alignment horizontal="left" indent="1"/>
      <protection locked="0"/>
    </xf>
    <xf numFmtId="0" fontId="0" fillId="2" borderId="3" xfId="0" applyFont="1" applyFill="1" applyBorder="1" applyAlignment="1" applyProtection="1">
      <alignment horizontal="left" indent="1"/>
      <protection locked="0"/>
    </xf>
    <xf numFmtId="0" fontId="0" fillId="2" borderId="2" xfId="0" applyFont="1" applyFill="1" applyBorder="1" applyAlignment="1" applyProtection="1">
      <alignment horizontal="left" indent="1"/>
      <protection locked="0"/>
    </xf>
    <xf numFmtId="0" fontId="25" fillId="36" borderId="53" xfId="0" applyFont="1" applyFill="1" applyBorder="1" applyAlignment="1" applyProtection="1">
      <alignment horizontal="left" indent="1"/>
      <protection locked="0"/>
    </xf>
    <xf numFmtId="0" fontId="25" fillId="36" borderId="52" xfId="0" applyFont="1" applyFill="1" applyBorder="1" applyAlignment="1" applyProtection="1">
      <alignment horizontal="left" indent="1"/>
      <protection locked="0"/>
    </xf>
    <xf numFmtId="0" fontId="25" fillId="36" borderId="36" xfId="0" applyFont="1" applyFill="1" applyBorder="1" applyAlignment="1" applyProtection="1">
      <alignment horizontal="left" indent="1"/>
      <protection locked="0"/>
    </xf>
    <xf numFmtId="0" fontId="25" fillId="36" borderId="3" xfId="0" applyFont="1" applyFill="1" applyBorder="1" applyAlignment="1" applyProtection="1">
      <alignment horizontal="left" indent="1"/>
      <protection locked="0"/>
    </xf>
    <xf numFmtId="0" fontId="2" fillId="0" borderId="21" xfId="0" applyFont="1" applyBorder="1" applyAlignment="1" applyProtection="1">
      <alignment horizontal="center"/>
    </xf>
    <xf numFmtId="0" fontId="2" fillId="0" borderId="23" xfId="0" applyFont="1" applyBorder="1" applyAlignment="1" applyProtection="1">
      <alignment horizontal="center"/>
    </xf>
    <xf numFmtId="0" fontId="2" fillId="0" borderId="36" xfId="0" applyFont="1" applyBorder="1" applyAlignment="1" applyProtection="1">
      <alignment horizontal="center"/>
    </xf>
    <xf numFmtId="0" fontId="2" fillId="0" borderId="3" xfId="0" applyFont="1" applyBorder="1" applyAlignment="1" applyProtection="1">
      <alignment horizontal="center"/>
    </xf>
    <xf numFmtId="0" fontId="0" fillId="2" borderId="53" xfId="0" applyFont="1" applyFill="1" applyBorder="1" applyAlignment="1" applyProtection="1">
      <alignment horizontal="left" indent="1"/>
      <protection locked="0"/>
    </xf>
    <xf numFmtId="0" fontId="0" fillId="2" borderId="52" xfId="0" applyFont="1" applyFill="1" applyBorder="1" applyAlignment="1" applyProtection="1">
      <alignment horizontal="left" indent="1"/>
      <protection locked="0"/>
    </xf>
    <xf numFmtId="0" fontId="2" fillId="3" borderId="0" xfId="0" applyFont="1" applyFill="1" applyBorder="1" applyAlignment="1" applyProtection="1">
      <alignment horizontal="center"/>
    </xf>
    <xf numFmtId="1" fontId="0" fillId="3" borderId="0" xfId="1" applyNumberFormat="1" applyFont="1" applyFill="1" applyBorder="1" applyAlignment="1" applyProtection="1">
      <alignment horizontal="center" vertical="center"/>
    </xf>
    <xf numFmtId="195" fontId="0" fillId="3" borderId="0" xfId="0" applyNumberFormat="1" applyFill="1" applyBorder="1" applyAlignment="1" applyProtection="1">
      <alignment horizontal="center"/>
    </xf>
    <xf numFmtId="0" fontId="9" fillId="0" borderId="6" xfId="0" applyFont="1" applyBorder="1" applyAlignment="1" applyProtection="1">
      <alignment horizontal="center" vertical="center"/>
    </xf>
    <xf numFmtId="0" fontId="9" fillId="0" borderId="19" xfId="0" applyFont="1" applyBorder="1" applyAlignment="1" applyProtection="1">
      <alignment horizontal="center" vertical="center"/>
    </xf>
    <xf numFmtId="0" fontId="3" fillId="2" borderId="7" xfId="0" applyFont="1" applyFill="1" applyBorder="1" applyAlignment="1" applyProtection="1">
      <alignment horizontal="left" vertical="center" indent="1"/>
      <protection locked="0"/>
    </xf>
    <xf numFmtId="0" fontId="3" fillId="2" borderId="26" xfId="0" applyFont="1" applyFill="1" applyBorder="1" applyAlignment="1" applyProtection="1">
      <alignment horizontal="left" vertical="center" indent="1"/>
      <protection locked="0"/>
    </xf>
    <xf numFmtId="0" fontId="3" fillId="2" borderId="1" xfId="0" applyFont="1" applyFill="1" applyBorder="1" applyAlignment="1" applyProtection="1">
      <alignment horizontal="left" vertical="center" indent="1"/>
      <protection locked="0"/>
    </xf>
    <xf numFmtId="0" fontId="3" fillId="2" borderId="2" xfId="0" applyFont="1" applyFill="1" applyBorder="1" applyAlignment="1" applyProtection="1">
      <alignment horizontal="left" vertical="center" indent="1"/>
      <protection locked="0"/>
    </xf>
    <xf numFmtId="166" fontId="0" fillId="3" borderId="0" xfId="0" applyNumberFormat="1" applyFill="1" applyBorder="1" applyProtection="1">
      <protection locked="0"/>
    </xf>
    <xf numFmtId="169" fontId="0" fillId="3" borderId="0" xfId="0" applyNumberFormat="1" applyFill="1" applyBorder="1" applyAlignment="1" applyProtection="1">
      <protection locked="0"/>
    </xf>
    <xf numFmtId="9" fontId="0" fillId="3" borderId="0" xfId="2" applyFont="1" applyFill="1" applyBorder="1" applyAlignment="1" applyProtection="1">
      <protection locked="0"/>
    </xf>
    <xf numFmtId="0" fontId="0" fillId="41" borderId="6" xfId="0" applyFill="1" applyBorder="1" applyAlignment="1" applyProtection="1">
      <alignment horizontal="center"/>
      <protection locked="0"/>
    </xf>
    <xf numFmtId="0" fontId="0" fillId="41" borderId="7" xfId="0" applyFill="1" applyBorder="1" applyAlignment="1" applyProtection="1">
      <alignment horizontal="center"/>
      <protection locked="0"/>
    </xf>
    <xf numFmtId="0" fontId="0" fillId="41" borderId="8" xfId="0" applyFill="1" applyBorder="1" applyAlignment="1" applyProtection="1">
      <alignment horizontal="center"/>
      <protection locked="0"/>
    </xf>
    <xf numFmtId="0" fontId="13" fillId="3" borderId="0" xfId="0" applyFont="1" applyFill="1" applyBorder="1" applyProtection="1"/>
    <xf numFmtId="0" fontId="2" fillId="0" borderId="21" xfId="0" applyFont="1" applyBorder="1" applyAlignment="1" applyProtection="1">
      <alignment horizontal="left"/>
    </xf>
    <xf numFmtId="0" fontId="2" fillId="0" borderId="22" xfId="0" applyFont="1" applyBorder="1" applyAlignment="1" applyProtection="1">
      <alignment horizontal="left"/>
    </xf>
    <xf numFmtId="0" fontId="2" fillId="0" borderId="23" xfId="0" applyFont="1" applyBorder="1" applyAlignment="1" applyProtection="1">
      <alignment horizontal="left"/>
    </xf>
    <xf numFmtId="0" fontId="0" fillId="3" borderId="0" xfId="0" applyFill="1" applyBorder="1" applyAlignment="1" applyProtection="1">
      <alignment vertical="center"/>
    </xf>
    <xf numFmtId="164" fontId="0" fillId="3" borderId="0" xfId="0" applyNumberFormat="1" applyFill="1" applyBorder="1" applyAlignment="1" applyProtection="1">
      <alignment horizontal="center"/>
    </xf>
    <xf numFmtId="0" fontId="0" fillId="2" borderId="53" xfId="0" applyFill="1" applyBorder="1" applyAlignment="1" applyProtection="1">
      <alignment horizontal="center"/>
      <protection locked="0"/>
    </xf>
    <xf numFmtId="0" fontId="0" fillId="2" borderId="33" xfId="0" applyFill="1" applyBorder="1" applyAlignment="1" applyProtection="1">
      <alignment horizontal="center"/>
      <protection locked="0"/>
    </xf>
    <xf numFmtId="0" fontId="0" fillId="2" borderId="52" xfId="0" applyFill="1" applyBorder="1" applyAlignment="1" applyProtection="1">
      <alignment horizontal="center"/>
      <protection locked="0"/>
    </xf>
    <xf numFmtId="0" fontId="14" fillId="3" borderId="0" xfId="0" applyFont="1" applyFill="1" applyBorder="1" applyAlignment="1" applyProtection="1">
      <alignment horizontal="left" vertical="center"/>
    </xf>
    <xf numFmtId="9" fontId="0" fillId="2" borderId="12" xfId="2" applyFont="1" applyFill="1" applyBorder="1" applyAlignment="1" applyProtection="1">
      <alignment horizontal="left" vertical="top"/>
    </xf>
    <xf numFmtId="9" fontId="0" fillId="2" borderId="13" xfId="2" applyFont="1" applyFill="1" applyBorder="1" applyAlignment="1" applyProtection="1">
      <alignment horizontal="left" vertical="top"/>
    </xf>
    <xf numFmtId="9" fontId="0" fillId="2" borderId="14" xfId="2" applyFont="1" applyFill="1" applyBorder="1" applyAlignment="1" applyProtection="1">
      <alignment horizontal="left" vertical="top"/>
    </xf>
    <xf numFmtId="9" fontId="0" fillId="2" borderId="28" xfId="2" applyFont="1" applyFill="1" applyBorder="1" applyAlignment="1" applyProtection="1">
      <alignment horizontal="left" vertical="top"/>
    </xf>
    <xf numFmtId="9" fontId="0" fillId="2" borderId="0" xfId="2" applyFont="1" applyFill="1" applyBorder="1" applyAlignment="1" applyProtection="1">
      <alignment horizontal="left" vertical="top"/>
    </xf>
    <xf numFmtId="9" fontId="0" fillId="2" borderId="29" xfId="2" applyFont="1" applyFill="1" applyBorder="1" applyAlignment="1" applyProtection="1">
      <alignment horizontal="left" vertical="top"/>
    </xf>
    <xf numFmtId="9" fontId="0" fillId="2" borderId="15" xfId="2" applyFont="1" applyFill="1" applyBorder="1" applyAlignment="1" applyProtection="1">
      <alignment horizontal="left" vertical="top"/>
    </xf>
    <xf numFmtId="9" fontId="0" fillId="2" borderId="16" xfId="2" applyFont="1" applyFill="1" applyBorder="1" applyAlignment="1" applyProtection="1">
      <alignment horizontal="left" vertical="top"/>
    </xf>
    <xf numFmtId="9" fontId="0" fillId="2" borderId="17" xfId="2" applyFont="1" applyFill="1" applyBorder="1" applyAlignment="1" applyProtection="1">
      <alignment horizontal="left" vertical="top"/>
    </xf>
    <xf numFmtId="164" fontId="0" fillId="0" borderId="1" xfId="0" applyNumberFormat="1" applyBorder="1" applyAlignment="1" applyProtection="1">
      <alignment horizontal="center"/>
    </xf>
    <xf numFmtId="169" fontId="0" fillId="0" borderId="53" xfId="0" applyNumberFormat="1" applyBorder="1" applyAlignment="1" applyProtection="1">
      <alignment horizontal="center"/>
    </xf>
    <xf numFmtId="169" fontId="0" fillId="0" borderId="52" xfId="0" applyNumberFormat="1" applyBorder="1" applyAlignment="1" applyProtection="1">
      <alignment horizontal="center"/>
    </xf>
    <xf numFmtId="0" fontId="2" fillId="0" borderId="6" xfId="0" applyFont="1" applyBorder="1" applyAlignment="1" applyProtection="1">
      <alignment horizontal="center"/>
    </xf>
    <xf numFmtId="0" fontId="2" fillId="0" borderId="7" xfId="0" applyFont="1" applyBorder="1" applyAlignment="1" applyProtection="1">
      <alignment horizontal="center"/>
    </xf>
    <xf numFmtId="0" fontId="2" fillId="0" borderId="8" xfId="0" applyFont="1" applyBorder="1" applyAlignment="1" applyProtection="1">
      <alignment horizontal="center"/>
    </xf>
    <xf numFmtId="0" fontId="0" fillId="4" borderId="7" xfId="0" applyFill="1" applyBorder="1" applyAlignment="1" applyProtection="1">
      <alignment horizontal="left" vertical="top" wrapText="1" indent="1"/>
    </xf>
    <xf numFmtId="0" fontId="0" fillId="4" borderId="8" xfId="0" applyFill="1" applyBorder="1" applyAlignment="1" applyProtection="1">
      <alignment horizontal="left" vertical="top" wrapText="1" indent="1"/>
    </xf>
    <xf numFmtId="0" fontId="0" fillId="4" borderId="1" xfId="0" applyFill="1" applyBorder="1" applyAlignment="1" applyProtection="1">
      <alignment horizontal="left" vertical="top" wrapText="1" indent="1"/>
    </xf>
    <xf numFmtId="0" fontId="0" fillId="4" borderId="20" xfId="0" applyFill="1" applyBorder="1" applyAlignment="1" applyProtection="1">
      <alignment horizontal="left" vertical="top" wrapText="1" indent="1"/>
    </xf>
    <xf numFmtId="0" fontId="0" fillId="4" borderId="10" xfId="0" applyFill="1" applyBorder="1" applyAlignment="1" applyProtection="1">
      <alignment horizontal="left" vertical="top" wrapText="1" indent="1"/>
    </xf>
    <xf numFmtId="0" fontId="0" fillId="4" borderId="11" xfId="0" applyFill="1" applyBorder="1" applyAlignment="1" applyProtection="1">
      <alignment horizontal="left" vertical="top" wrapText="1" indent="1"/>
    </xf>
    <xf numFmtId="0" fontId="2" fillId="0" borderId="74" xfId="0" applyFont="1" applyBorder="1" applyAlignment="1" applyProtection="1">
      <alignment horizontal="center" vertical="center"/>
    </xf>
    <xf numFmtId="0" fontId="2" fillId="0" borderId="68" xfId="0" applyFont="1" applyBorder="1" applyAlignment="1" applyProtection="1">
      <alignment horizontal="center" vertical="center"/>
    </xf>
    <xf numFmtId="9" fontId="0" fillId="0" borderId="7" xfId="2" applyFont="1" applyFill="1" applyBorder="1" applyAlignment="1" applyProtection="1">
      <alignment horizontal="center"/>
    </xf>
    <xf numFmtId="0" fontId="2" fillId="0" borderId="1" xfId="0" applyFont="1" applyBorder="1" applyAlignment="1" applyProtection="1">
      <alignment horizontal="center" vertical="center"/>
    </xf>
    <xf numFmtId="164" fontId="2" fillId="3" borderId="19" xfId="0" applyNumberFormat="1" applyFont="1" applyFill="1" applyBorder="1" applyAlignment="1" applyProtection="1">
      <alignment horizontal="center"/>
    </xf>
    <xf numFmtId="164" fontId="2" fillId="3" borderId="1" xfId="0" applyNumberFormat="1" applyFont="1" applyFill="1" applyBorder="1" applyAlignment="1" applyProtection="1">
      <alignment horizontal="center"/>
    </xf>
    <xf numFmtId="164" fontId="2" fillId="3" borderId="20" xfId="0" applyNumberFormat="1" applyFont="1" applyFill="1" applyBorder="1" applyAlignment="1" applyProtection="1">
      <alignment horizontal="center"/>
    </xf>
    <xf numFmtId="0" fontId="0" fillId="3" borderId="9" xfId="0" applyFill="1" applyBorder="1" applyAlignment="1" applyProtection="1">
      <alignment horizontal="left" indent="1"/>
    </xf>
    <xf numFmtId="0" fontId="0" fillId="3" borderId="10" xfId="0" applyFill="1" applyBorder="1" applyAlignment="1" applyProtection="1">
      <alignment horizontal="left" indent="1"/>
    </xf>
    <xf numFmtId="0" fontId="0" fillId="2" borderId="51" xfId="0" applyFont="1" applyFill="1" applyBorder="1" applyAlignment="1" applyProtection="1">
      <alignment horizontal="left" indent="1"/>
      <protection locked="0"/>
    </xf>
    <xf numFmtId="0" fontId="2" fillId="2" borderId="2" xfId="0" applyFont="1" applyFill="1" applyBorder="1" applyAlignment="1" applyProtection="1">
      <alignment horizontal="center"/>
    </xf>
    <xf numFmtId="0" fontId="2" fillId="2" borderId="3" xfId="0" applyFont="1" applyFill="1" applyBorder="1" applyAlignment="1" applyProtection="1">
      <alignment horizontal="center"/>
    </xf>
    <xf numFmtId="0" fontId="2" fillId="2" borderId="36" xfId="0" applyFont="1" applyFill="1" applyBorder="1" applyAlignment="1" applyProtection="1">
      <alignment horizontal="center"/>
    </xf>
    <xf numFmtId="0" fontId="25" fillId="50" borderId="19" xfId="0" applyFont="1" applyFill="1" applyBorder="1" applyAlignment="1" applyProtection="1">
      <alignment horizontal="left" indent="1"/>
      <protection locked="0"/>
    </xf>
    <xf numFmtId="0" fontId="25" fillId="50" borderId="1" xfId="0" applyFont="1" applyFill="1" applyBorder="1" applyAlignment="1" applyProtection="1">
      <alignment horizontal="left" indent="1"/>
      <protection locked="0"/>
    </xf>
    <xf numFmtId="0" fontId="0" fillId="49" borderId="19" xfId="0" applyFont="1" applyFill="1" applyBorder="1" applyAlignment="1" applyProtection="1">
      <alignment horizontal="left" indent="1"/>
      <protection locked="0"/>
    </xf>
    <xf numFmtId="0" fontId="0" fillId="49" borderId="1" xfId="0" applyFont="1" applyFill="1" applyBorder="1" applyAlignment="1" applyProtection="1">
      <alignment horizontal="left" indent="1"/>
      <protection locked="0"/>
    </xf>
    <xf numFmtId="0" fontId="49" fillId="3" borderId="0" xfId="0" quotePrefix="1" applyFont="1" applyFill="1" applyBorder="1" applyAlignment="1" applyProtection="1">
      <alignment horizontal="left" vertical="top"/>
    </xf>
    <xf numFmtId="0" fontId="49" fillId="3" borderId="0" xfId="0" quotePrefix="1" applyFont="1" applyFill="1" applyBorder="1" applyAlignment="1" applyProtection="1">
      <alignment horizontal="right" vertical="top" wrapText="1"/>
    </xf>
    <xf numFmtId="0" fontId="0" fillId="3" borderId="0" xfId="0" applyFill="1" applyBorder="1" applyAlignment="1" applyProtection="1">
      <alignment horizontal="left" vertical="top" wrapText="1" indent="1"/>
    </xf>
    <xf numFmtId="0" fontId="0" fillId="3" borderId="29" xfId="0" applyFill="1" applyBorder="1" applyAlignment="1" applyProtection="1">
      <alignment horizontal="left" vertical="top" wrapText="1" indent="1"/>
    </xf>
    <xf numFmtId="0" fontId="0" fillId="3" borderId="53" xfId="0" applyFill="1" applyBorder="1" applyAlignment="1" applyProtection="1">
      <alignment horizontal="left" vertical="center" indent="1"/>
    </xf>
    <xf numFmtId="0" fontId="0" fillId="3" borderId="33" xfId="0" applyFill="1" applyBorder="1" applyAlignment="1" applyProtection="1">
      <alignment horizontal="left" vertical="center" indent="1"/>
    </xf>
    <xf numFmtId="0" fontId="0" fillId="3" borderId="52" xfId="0" applyFill="1" applyBorder="1" applyAlignment="1" applyProtection="1">
      <alignment horizontal="left" vertical="center" indent="1"/>
    </xf>
    <xf numFmtId="9" fontId="0" fillId="0" borderId="27" xfId="2" applyFont="1" applyFill="1" applyBorder="1" applyAlignment="1" applyProtection="1">
      <alignment horizontal="center"/>
    </xf>
    <xf numFmtId="0" fontId="0" fillId="49" borderId="10" xfId="0" applyFont="1" applyFill="1" applyBorder="1" applyAlignment="1" applyProtection="1">
      <alignment horizontal="left" indent="1"/>
      <protection locked="0"/>
    </xf>
    <xf numFmtId="0" fontId="0" fillId="3" borderId="12" xfId="1" applyNumberFormat="1" applyFont="1" applyFill="1" applyBorder="1" applyAlignment="1" applyProtection="1">
      <alignment horizontal="left" vertical="top" indent="1"/>
    </xf>
    <xf numFmtId="0" fontId="0" fillId="3" borderId="13" xfId="1" applyNumberFormat="1" applyFont="1" applyFill="1" applyBorder="1" applyAlignment="1" applyProtection="1">
      <alignment horizontal="left" vertical="top" indent="1"/>
    </xf>
    <xf numFmtId="0" fontId="0" fillId="3" borderId="28" xfId="1" applyNumberFormat="1" applyFont="1" applyFill="1" applyBorder="1" applyAlignment="1" applyProtection="1">
      <alignment horizontal="left" vertical="top" indent="1"/>
    </xf>
    <xf numFmtId="0" fontId="0" fillId="3" borderId="0" xfId="1" applyNumberFormat="1" applyFont="1" applyFill="1" applyBorder="1" applyAlignment="1" applyProtection="1">
      <alignment horizontal="left" vertical="top" indent="1"/>
    </xf>
    <xf numFmtId="0" fontId="0" fillId="3" borderId="15" xfId="1" applyNumberFormat="1" applyFont="1" applyFill="1" applyBorder="1" applyAlignment="1" applyProtection="1">
      <alignment horizontal="left" vertical="top" indent="1"/>
    </xf>
    <xf numFmtId="0" fontId="0" fillId="3" borderId="16" xfId="1" applyNumberFormat="1" applyFont="1" applyFill="1" applyBorder="1" applyAlignment="1" applyProtection="1">
      <alignment horizontal="left" vertical="top" indent="1"/>
    </xf>
    <xf numFmtId="0" fontId="0" fillId="2" borderId="12" xfId="1" applyNumberFormat="1" applyFont="1" applyFill="1" applyBorder="1" applyAlignment="1" applyProtection="1">
      <alignment horizontal="left" vertical="top" wrapText="1" indent="1"/>
      <protection locked="0"/>
    </xf>
    <xf numFmtId="0" fontId="0" fillId="2" borderId="13" xfId="1" applyNumberFormat="1" applyFont="1" applyFill="1" applyBorder="1" applyAlignment="1" applyProtection="1">
      <alignment horizontal="left" vertical="top" indent="1"/>
      <protection locked="0"/>
    </xf>
    <xf numFmtId="0" fontId="0" fillId="2" borderId="14" xfId="1" applyNumberFormat="1" applyFont="1" applyFill="1" applyBorder="1" applyAlignment="1" applyProtection="1">
      <alignment horizontal="left" vertical="top" indent="1"/>
      <protection locked="0"/>
    </xf>
    <xf numFmtId="0" fontId="0" fillId="2" borderId="28" xfId="1" applyNumberFormat="1" applyFont="1" applyFill="1" applyBorder="1" applyAlignment="1" applyProtection="1">
      <alignment horizontal="left" vertical="top" indent="1"/>
      <protection locked="0"/>
    </xf>
    <xf numFmtId="0" fontId="0" fillId="2" borderId="0" xfId="1" applyNumberFormat="1" applyFont="1" applyFill="1" applyBorder="1" applyAlignment="1" applyProtection="1">
      <alignment horizontal="left" vertical="top" indent="1"/>
      <protection locked="0"/>
    </xf>
    <xf numFmtId="0" fontId="0" fillId="2" borderId="29" xfId="1" applyNumberFormat="1" applyFont="1" applyFill="1" applyBorder="1" applyAlignment="1" applyProtection="1">
      <alignment horizontal="left" vertical="top" indent="1"/>
      <protection locked="0"/>
    </xf>
    <xf numFmtId="0" fontId="0" fillId="2" borderId="15" xfId="1" applyNumberFormat="1" applyFont="1" applyFill="1" applyBorder="1" applyAlignment="1" applyProtection="1">
      <alignment horizontal="left" vertical="top" indent="1"/>
      <protection locked="0"/>
    </xf>
    <xf numFmtId="0" fontId="0" fillId="2" borderId="16" xfId="1" applyNumberFormat="1" applyFont="1" applyFill="1" applyBorder="1" applyAlignment="1" applyProtection="1">
      <alignment horizontal="left" vertical="top" indent="1"/>
      <protection locked="0"/>
    </xf>
    <xf numFmtId="0" fontId="0" fillId="2" borderId="17" xfId="1" applyNumberFormat="1" applyFont="1" applyFill="1" applyBorder="1" applyAlignment="1" applyProtection="1">
      <alignment horizontal="left" vertical="top" indent="1"/>
      <protection locked="0"/>
    </xf>
    <xf numFmtId="9" fontId="0" fillId="3" borderId="9" xfId="2" applyFont="1" applyFill="1" applyBorder="1" applyAlignment="1" applyProtection="1">
      <alignment horizontal="center"/>
    </xf>
    <xf numFmtId="9" fontId="0" fillId="3" borderId="11" xfId="2" applyFont="1" applyFill="1" applyBorder="1" applyAlignment="1" applyProtection="1">
      <alignment horizontal="center"/>
    </xf>
    <xf numFmtId="0" fontId="25" fillId="50" borderId="9" xfId="0" applyFont="1" applyFill="1" applyBorder="1" applyAlignment="1" applyProtection="1">
      <alignment horizontal="left" indent="1"/>
      <protection locked="0"/>
    </xf>
    <xf numFmtId="0" fontId="25" fillId="50" borderId="10" xfId="0" applyFont="1" applyFill="1" applyBorder="1" applyAlignment="1" applyProtection="1">
      <alignment horizontal="left" indent="1"/>
      <protection locked="0"/>
    </xf>
    <xf numFmtId="0" fontId="0" fillId="4" borderId="61" xfId="0" applyFill="1" applyBorder="1" applyAlignment="1" applyProtection="1">
      <alignment horizontal="left" vertical="top" wrapText="1"/>
    </xf>
    <xf numFmtId="0" fontId="0" fillId="4" borderId="14" xfId="0" applyFill="1" applyBorder="1" applyAlignment="1" applyProtection="1">
      <alignment horizontal="left" vertical="top" wrapText="1"/>
    </xf>
    <xf numFmtId="0" fontId="0" fillId="4" borderId="32" xfId="0" applyFill="1" applyBorder="1" applyAlignment="1" applyProtection="1">
      <alignment horizontal="left" vertical="top" wrapText="1"/>
    </xf>
    <xf numFmtId="0" fontId="0" fillId="4" borderId="62" xfId="0" applyFill="1" applyBorder="1" applyAlignment="1" applyProtection="1">
      <alignment horizontal="left" vertical="top" wrapText="1"/>
    </xf>
    <xf numFmtId="0" fontId="0" fillId="4" borderId="30" xfId="0" applyFill="1" applyBorder="1" applyAlignment="1" applyProtection="1">
      <alignment horizontal="left" vertical="top" wrapText="1"/>
    </xf>
    <xf numFmtId="0" fontId="0" fillId="4" borderId="34" xfId="0" applyFill="1" applyBorder="1" applyAlignment="1" applyProtection="1">
      <alignment horizontal="left" vertical="top" wrapText="1"/>
    </xf>
    <xf numFmtId="0" fontId="0" fillId="4" borderId="35" xfId="0" applyFill="1" applyBorder="1" applyAlignment="1" applyProtection="1">
      <alignment horizontal="left" vertical="top" wrapText="1"/>
    </xf>
    <xf numFmtId="0" fontId="0" fillId="4" borderId="17" xfId="0" applyFill="1" applyBorder="1" applyAlignment="1" applyProtection="1">
      <alignment horizontal="left" vertical="top" wrapText="1"/>
    </xf>
    <xf numFmtId="0" fontId="0" fillId="49" borderId="9" xfId="0" applyFont="1" applyFill="1" applyBorder="1" applyAlignment="1" applyProtection="1">
      <alignment horizontal="left" indent="1"/>
      <protection locked="0"/>
    </xf>
    <xf numFmtId="0" fontId="2" fillId="0" borderId="9" xfId="0" applyFont="1" applyBorder="1" applyAlignment="1" applyProtection="1">
      <alignment horizontal="right" indent="1"/>
    </xf>
    <xf numFmtId="0" fontId="2" fillId="0" borderId="10" xfId="0" applyFont="1" applyBorder="1" applyAlignment="1" applyProtection="1">
      <alignment horizontal="right" indent="1"/>
    </xf>
    <xf numFmtId="0" fontId="0" fillId="41" borderId="27" xfId="0" applyFont="1" applyFill="1" applyBorder="1" applyAlignment="1" applyProtection="1">
      <alignment horizontal="center"/>
      <protection locked="0"/>
    </xf>
    <xf numFmtId="0" fontId="0" fillId="41" borderId="55" xfId="0" applyFont="1" applyFill="1" applyBorder="1" applyAlignment="1" applyProtection="1">
      <alignment horizontal="center"/>
      <protection locked="0"/>
    </xf>
    <xf numFmtId="0" fontId="0" fillId="3" borderId="1" xfId="0" applyFill="1" applyBorder="1" applyAlignment="1" applyProtection="1">
      <alignment horizontal="left" indent="1"/>
    </xf>
    <xf numFmtId="0" fontId="0" fillId="3" borderId="28" xfId="0" applyFill="1" applyBorder="1" applyAlignment="1" applyProtection="1">
      <alignment horizontal="center"/>
    </xf>
    <xf numFmtId="0" fontId="0" fillId="3" borderId="0" xfId="0" applyFill="1" applyBorder="1" applyAlignment="1" applyProtection="1">
      <alignment horizontal="center"/>
    </xf>
    <xf numFmtId="0" fontId="0" fillId="3" borderId="67" xfId="0" applyFill="1" applyBorder="1" applyAlignment="1" applyProtection="1">
      <alignment horizontal="center"/>
    </xf>
    <xf numFmtId="0" fontId="0" fillId="3" borderId="4" xfId="0" applyFill="1" applyBorder="1" applyAlignment="1" applyProtection="1">
      <alignment horizontal="center"/>
    </xf>
    <xf numFmtId="0" fontId="2" fillId="3" borderId="28" xfId="0" applyFont="1" applyFill="1" applyBorder="1" applyAlignment="1" applyProtection="1">
      <alignment horizontal="right" indent="1"/>
    </xf>
    <xf numFmtId="0" fontId="2" fillId="3" borderId="0" xfId="0" applyFont="1" applyFill="1" applyBorder="1" applyAlignment="1" applyProtection="1">
      <alignment horizontal="right" indent="1"/>
    </xf>
    <xf numFmtId="0" fontId="2" fillId="3" borderId="5" xfId="0" applyFont="1" applyFill="1" applyBorder="1" applyAlignment="1" applyProtection="1">
      <alignment horizontal="right" indent="1"/>
    </xf>
    <xf numFmtId="0" fontId="2" fillId="3" borderId="15" xfId="0" applyFont="1" applyFill="1" applyBorder="1" applyAlignment="1" applyProtection="1">
      <alignment horizontal="right" indent="1"/>
    </xf>
    <xf numFmtId="0" fontId="2" fillId="3" borderId="16" xfId="0" applyFont="1" applyFill="1" applyBorder="1" applyAlignment="1" applyProtection="1">
      <alignment horizontal="right" indent="1"/>
    </xf>
    <xf numFmtId="0" fontId="2" fillId="3" borderId="66" xfId="0" applyFont="1" applyFill="1" applyBorder="1" applyAlignment="1" applyProtection="1">
      <alignment horizontal="right" indent="1"/>
    </xf>
    <xf numFmtId="0" fontId="2" fillId="0" borderId="19" xfId="0" applyFont="1" applyBorder="1" applyAlignment="1" applyProtection="1">
      <alignment horizontal="right" indent="1"/>
    </xf>
    <xf numFmtId="0" fontId="2" fillId="0" borderId="1" xfId="0" applyFont="1" applyBorder="1" applyAlignment="1" applyProtection="1">
      <alignment horizontal="right" indent="1"/>
    </xf>
    <xf numFmtId="0" fontId="0" fillId="2" borderId="63" xfId="0" applyFill="1" applyBorder="1" applyAlignment="1" applyProtection="1">
      <alignment horizontal="left" indent="1"/>
      <protection locked="0"/>
    </xf>
    <xf numFmtId="0" fontId="0" fillId="2" borderId="3" xfId="0" applyFill="1" applyBorder="1" applyAlignment="1" applyProtection="1">
      <alignment horizontal="left" indent="1"/>
      <protection locked="0"/>
    </xf>
    <xf numFmtId="0" fontId="2" fillId="0" borderId="12" xfId="0" applyFont="1" applyBorder="1" applyAlignment="1" applyProtection="1">
      <alignment horizontal="left"/>
    </xf>
    <xf numFmtId="0" fontId="2" fillId="0" borderId="13" xfId="0" applyFont="1" applyBorder="1" applyAlignment="1" applyProtection="1">
      <alignment horizontal="left"/>
    </xf>
    <xf numFmtId="0" fontId="2" fillId="0" borderId="65" xfId="0" applyFont="1" applyBorder="1" applyAlignment="1" applyProtection="1">
      <alignment horizontal="left"/>
    </xf>
    <xf numFmtId="0" fontId="0" fillId="0" borderId="19" xfId="0" applyBorder="1" applyAlignment="1" applyProtection="1">
      <alignment horizontal="left" indent="1"/>
    </xf>
    <xf numFmtId="0" fontId="0" fillId="0" borderId="1" xfId="0" applyBorder="1" applyAlignment="1" applyProtection="1">
      <alignment horizontal="left" indent="1"/>
    </xf>
    <xf numFmtId="0" fontId="2" fillId="0" borderId="28" xfId="0" applyFont="1" applyFill="1" applyBorder="1" applyAlignment="1" applyProtection="1">
      <alignment horizontal="right" indent="1"/>
    </xf>
    <xf numFmtId="0" fontId="2" fillId="0" borderId="0" xfId="0" applyFont="1" applyFill="1" applyBorder="1" applyAlignment="1" applyProtection="1">
      <alignment horizontal="right" indent="1"/>
    </xf>
    <xf numFmtId="0" fontId="2" fillId="0" borderId="5" xfId="0" applyFont="1" applyFill="1" applyBorder="1" applyAlignment="1" applyProtection="1">
      <alignment horizontal="right" indent="1"/>
    </xf>
    <xf numFmtId="0" fontId="0" fillId="2" borderId="2" xfId="0" applyFill="1" applyBorder="1" applyAlignment="1" applyProtection="1">
      <protection locked="0"/>
    </xf>
    <xf numFmtId="0" fontId="0" fillId="2" borderId="63" xfId="0" applyFill="1" applyBorder="1" applyAlignment="1" applyProtection="1">
      <protection locked="0"/>
    </xf>
    <xf numFmtId="0" fontId="0" fillId="2" borderId="3" xfId="0" applyFill="1" applyBorder="1" applyAlignment="1" applyProtection="1">
      <protection locked="0"/>
    </xf>
    <xf numFmtId="164" fontId="0" fillId="0" borderId="20" xfId="0" applyNumberFormat="1" applyBorder="1" applyAlignment="1" applyProtection="1">
      <alignment horizontal="center"/>
    </xf>
    <xf numFmtId="0" fontId="2" fillId="3" borderId="19" xfId="0" applyFont="1" applyFill="1" applyBorder="1" applyAlignment="1" applyProtection="1">
      <alignment horizontal="right" indent="1"/>
    </xf>
    <xf numFmtId="0" fontId="2" fillId="3" borderId="1" xfId="0" applyFont="1" applyFill="1" applyBorder="1" applyAlignment="1" applyProtection="1">
      <alignment horizontal="right" indent="1"/>
    </xf>
    <xf numFmtId="0" fontId="2" fillId="3" borderId="9" xfId="0" applyFont="1" applyFill="1" applyBorder="1" applyAlignment="1" applyProtection="1">
      <alignment horizontal="right" indent="1"/>
    </xf>
    <xf numFmtId="0" fontId="2" fillId="3" borderId="10" xfId="0" applyFont="1" applyFill="1" applyBorder="1" applyAlignment="1" applyProtection="1">
      <alignment horizontal="right" indent="1"/>
    </xf>
    <xf numFmtId="0" fontId="2" fillId="3" borderId="42" xfId="0" applyFont="1" applyFill="1" applyBorder="1" applyAlignment="1" applyProtection="1">
      <alignment horizontal="center"/>
    </xf>
    <xf numFmtId="0" fontId="2" fillId="3" borderId="48" xfId="0" applyFont="1" applyFill="1" applyBorder="1" applyAlignment="1" applyProtection="1">
      <alignment horizontal="center"/>
    </xf>
    <xf numFmtId="0" fontId="0" fillId="49" borderId="9" xfId="0" applyFill="1" applyBorder="1" applyAlignment="1" applyProtection="1">
      <alignment horizontal="center"/>
      <protection locked="0"/>
    </xf>
    <xf numFmtId="0" fontId="0" fillId="49" borderId="10" xfId="0" applyFill="1" applyBorder="1" applyAlignment="1" applyProtection="1">
      <alignment horizontal="center"/>
      <protection locked="0"/>
    </xf>
    <xf numFmtId="164" fontId="0" fillId="0" borderId="1" xfId="0" applyNumberFormat="1" applyFont="1" applyBorder="1" applyAlignment="1" applyProtection="1">
      <alignment horizontal="center"/>
    </xf>
    <xf numFmtId="164" fontId="0" fillId="0" borderId="20" xfId="0" applyNumberFormat="1" applyFont="1" applyBorder="1" applyAlignment="1" applyProtection="1">
      <alignment horizontal="center"/>
    </xf>
    <xf numFmtId="0" fontId="2" fillId="0" borderId="6" xfId="0" applyFont="1" applyBorder="1" applyAlignment="1" applyProtection="1">
      <alignment horizontal="center" vertical="center"/>
    </xf>
    <xf numFmtId="0" fontId="2" fillId="0" borderId="9" xfId="0" applyFont="1" applyBorder="1" applyAlignment="1" applyProtection="1">
      <alignment horizontal="center" vertical="center"/>
    </xf>
    <xf numFmtId="169" fontId="0" fillId="0" borderId="9" xfId="0" applyNumberFormat="1" applyBorder="1" applyAlignment="1" applyProtection="1">
      <alignment horizontal="center"/>
    </xf>
    <xf numFmtId="169" fontId="0" fillId="0" borderId="10" xfId="0" applyNumberFormat="1" applyBorder="1" applyAlignment="1" applyProtection="1">
      <alignment horizontal="center"/>
    </xf>
    <xf numFmtId="1" fontId="2" fillId="0" borderId="10" xfId="1" applyNumberFormat="1" applyFont="1" applyBorder="1" applyAlignment="1" applyProtection="1">
      <alignment horizontal="center"/>
    </xf>
    <xf numFmtId="1" fontId="2" fillId="0" borderId="11" xfId="1" applyNumberFormat="1" applyFont="1" applyBorder="1" applyAlignment="1" applyProtection="1">
      <alignment horizontal="center"/>
    </xf>
    <xf numFmtId="0" fontId="10" fillId="3" borderId="16" xfId="0" applyFont="1" applyFill="1" applyBorder="1" applyProtection="1"/>
    <xf numFmtId="0" fontId="10" fillId="3" borderId="17" xfId="0" applyFont="1" applyFill="1" applyBorder="1" applyProtection="1"/>
    <xf numFmtId="164" fontId="0" fillId="3" borderId="31" xfId="0" applyNumberFormat="1" applyFill="1" applyBorder="1" applyAlignment="1" applyProtection="1"/>
    <xf numFmtId="164" fontId="0" fillId="3" borderId="29" xfId="0" applyNumberFormat="1" applyFill="1" applyBorder="1" applyAlignment="1" applyProtection="1"/>
    <xf numFmtId="178" fontId="0" fillId="4" borderId="10" xfId="1" applyNumberFormat="1" applyFont="1" applyFill="1" applyBorder="1" applyAlignment="1" applyProtection="1">
      <alignment horizontal="center"/>
    </xf>
    <xf numFmtId="178" fontId="0" fillId="4" borderId="11" xfId="1" applyNumberFormat="1" applyFont="1" applyFill="1" applyBorder="1" applyAlignment="1" applyProtection="1">
      <alignment horizontal="center"/>
    </xf>
    <xf numFmtId="168" fontId="2" fillId="3" borderId="28" xfId="0" quotePrefix="1" applyNumberFormat="1" applyFont="1" applyFill="1" applyBorder="1" applyAlignment="1" applyProtection="1">
      <alignment horizontal="right" indent="1"/>
    </xf>
    <xf numFmtId="168" fontId="2" fillId="3" borderId="0" xfId="0" quotePrefix="1" applyNumberFormat="1" applyFont="1" applyFill="1" applyBorder="1" applyAlignment="1" applyProtection="1">
      <alignment horizontal="right" indent="1"/>
    </xf>
    <xf numFmtId="0" fontId="2" fillId="3" borderId="6" xfId="0" applyFont="1" applyFill="1" applyBorder="1" applyAlignment="1" applyProtection="1">
      <alignment horizontal="right" indent="1"/>
    </xf>
    <xf numFmtId="0" fontId="2" fillId="3" borderId="7" xfId="0" applyFont="1" applyFill="1" applyBorder="1" applyAlignment="1" applyProtection="1">
      <alignment horizontal="right" indent="1"/>
    </xf>
    <xf numFmtId="0" fontId="0" fillId="3" borderId="0" xfId="0" applyFill="1" applyProtection="1"/>
    <xf numFmtId="0" fontId="0" fillId="49" borderId="24" xfId="0" applyFont="1" applyFill="1" applyBorder="1" applyAlignment="1" applyProtection="1">
      <alignment horizontal="left" indent="1"/>
      <protection locked="0"/>
    </xf>
    <xf numFmtId="0" fontId="0" fillId="49" borderId="55" xfId="0" applyFont="1" applyFill="1" applyBorder="1" applyAlignment="1" applyProtection="1">
      <alignment horizontal="left" indent="1"/>
      <protection locked="0"/>
    </xf>
    <xf numFmtId="0" fontId="2" fillId="0" borderId="19" xfId="0" applyFont="1" applyBorder="1" applyAlignment="1" applyProtection="1">
      <alignment horizontal="center"/>
    </xf>
    <xf numFmtId="0" fontId="2" fillId="0" borderId="1" xfId="0" applyFont="1" applyBorder="1" applyAlignment="1" applyProtection="1">
      <alignment horizontal="center"/>
    </xf>
    <xf numFmtId="164" fontId="2" fillId="3" borderId="56" xfId="0" applyNumberFormat="1" applyFont="1" applyFill="1" applyBorder="1" applyAlignment="1" applyProtection="1">
      <alignment horizontal="center"/>
    </xf>
    <xf numFmtId="164" fontId="2" fillId="3" borderId="45" xfId="0" applyNumberFormat="1" applyFont="1" applyFill="1" applyBorder="1" applyAlignment="1" applyProtection="1">
      <alignment horizontal="center"/>
    </xf>
    <xf numFmtId="164" fontId="2" fillId="3" borderId="68" xfId="0" applyNumberFormat="1" applyFont="1" applyFill="1" applyBorder="1" applyAlignment="1" applyProtection="1">
      <alignment horizontal="center"/>
    </xf>
    <xf numFmtId="0" fontId="2" fillId="0" borderId="24" xfId="0" applyFont="1" applyBorder="1" applyAlignment="1" applyProtection="1">
      <alignment horizontal="right" indent="1"/>
    </xf>
    <xf numFmtId="0" fontId="2" fillId="0" borderId="27" xfId="0" applyFont="1" applyBorder="1" applyAlignment="1" applyProtection="1">
      <alignment horizontal="right" indent="1"/>
    </xf>
    <xf numFmtId="166" fontId="0" fillId="2" borderId="7" xfId="0" applyNumberFormat="1" applyFill="1" applyBorder="1" applyAlignment="1" applyProtection="1">
      <alignment horizontal="left" indent="1"/>
      <protection locked="0"/>
    </xf>
    <xf numFmtId="166" fontId="0" fillId="2" borderId="8" xfId="0" applyNumberFormat="1" applyFill="1" applyBorder="1" applyAlignment="1" applyProtection="1">
      <alignment horizontal="left" indent="1"/>
      <protection locked="0"/>
    </xf>
    <xf numFmtId="0" fontId="2" fillId="3" borderId="2" xfId="0" applyFont="1" applyFill="1" applyBorder="1" applyAlignment="1" applyProtection="1">
      <alignment horizontal="center" vertical="center"/>
    </xf>
    <xf numFmtId="0" fontId="2" fillId="3" borderId="58" xfId="0" applyFont="1" applyFill="1" applyBorder="1" applyAlignment="1" applyProtection="1">
      <alignment horizontal="center" vertical="center"/>
    </xf>
    <xf numFmtId="0" fontId="0" fillId="3" borderId="51" xfId="0" applyFill="1" applyBorder="1" applyAlignment="1" applyProtection="1">
      <alignment horizontal="center" vertical="center"/>
    </xf>
    <xf numFmtId="0" fontId="0" fillId="3" borderId="59" xfId="0" applyFill="1" applyBorder="1" applyAlignment="1" applyProtection="1">
      <alignment horizontal="center" vertical="center"/>
    </xf>
    <xf numFmtId="193" fontId="0" fillId="3" borderId="26" xfId="0" applyNumberFormat="1" applyFill="1" applyBorder="1" applyAlignment="1" applyProtection="1">
      <alignment horizontal="center"/>
    </xf>
    <xf numFmtId="193" fontId="0" fillId="3" borderId="57" xfId="0" applyNumberFormat="1" applyFill="1" applyBorder="1" applyAlignment="1" applyProtection="1">
      <alignment horizontal="center"/>
    </xf>
    <xf numFmtId="0" fontId="0" fillId="3" borderId="2" xfId="0" applyFill="1" applyBorder="1" applyAlignment="1" applyProtection="1"/>
    <xf numFmtId="0" fontId="0" fillId="3" borderId="58" xfId="0" applyFill="1" applyBorder="1" applyAlignment="1" applyProtection="1"/>
    <xf numFmtId="164" fontId="0" fillId="3" borderId="30" xfId="0" applyNumberFormat="1" applyFill="1" applyBorder="1" applyAlignment="1" applyProtection="1"/>
    <xf numFmtId="164" fontId="0" fillId="3" borderId="34" xfId="0" applyNumberFormat="1" applyFill="1" applyBorder="1" applyAlignment="1" applyProtection="1"/>
    <xf numFmtId="0" fontId="2" fillId="0" borderId="6" xfId="0" applyFont="1" applyBorder="1" applyAlignment="1" applyProtection="1">
      <alignment horizontal="right" indent="1"/>
    </xf>
    <xf numFmtId="0" fontId="2" fillId="0" borderId="7" xfId="0" applyFont="1" applyBorder="1" applyAlignment="1" applyProtection="1">
      <alignment horizontal="right" indent="1"/>
    </xf>
    <xf numFmtId="9" fontId="2" fillId="3" borderId="42" xfId="2" applyFont="1" applyFill="1" applyBorder="1" applyAlignment="1" applyProtection="1">
      <alignment horizontal="right" indent="1"/>
    </xf>
    <xf numFmtId="9" fontId="2" fillId="3" borderId="47" xfId="2" applyFont="1" applyFill="1" applyBorder="1" applyAlignment="1" applyProtection="1">
      <alignment horizontal="right" indent="1"/>
    </xf>
    <xf numFmtId="9" fontId="2" fillId="3" borderId="54" xfId="2" applyFont="1" applyFill="1" applyBorder="1" applyAlignment="1" applyProtection="1">
      <alignment horizontal="right" indent="1"/>
    </xf>
    <xf numFmtId="0" fontId="0" fillId="49" borderId="6" xfId="0" applyFill="1" applyBorder="1" applyAlignment="1" applyProtection="1">
      <alignment horizontal="left" indent="1"/>
      <protection locked="0"/>
    </xf>
    <xf numFmtId="0" fontId="0" fillId="49" borderId="7" xfId="0" applyFill="1" applyBorder="1" applyAlignment="1" applyProtection="1">
      <alignment horizontal="left" indent="1"/>
      <protection locked="0"/>
    </xf>
    <xf numFmtId="0" fontId="0" fillId="49" borderId="8" xfId="0" applyFill="1" applyBorder="1" applyAlignment="1" applyProtection="1">
      <alignment horizontal="left" indent="1"/>
      <protection locked="0"/>
    </xf>
    <xf numFmtId="0" fontId="2" fillId="3" borderId="19" xfId="0" applyFont="1" applyFill="1" applyBorder="1" applyAlignment="1" applyProtection="1">
      <alignment horizontal="center"/>
    </xf>
    <xf numFmtId="0" fontId="2" fillId="3" borderId="1" xfId="0" applyFont="1" applyFill="1" applyBorder="1" applyAlignment="1" applyProtection="1">
      <alignment horizontal="center"/>
    </xf>
    <xf numFmtId="0" fontId="0" fillId="2" borderId="6" xfId="0" applyFill="1" applyBorder="1" applyAlignment="1" applyProtection="1">
      <alignment horizontal="left" vertical="center" wrapText="1" indent="1"/>
      <protection locked="0"/>
    </xf>
    <xf numFmtId="0" fontId="0" fillId="2" borderId="7" xfId="0" applyFill="1" applyBorder="1" applyAlignment="1" applyProtection="1">
      <alignment horizontal="left" vertical="center" wrapText="1" indent="1"/>
      <protection locked="0"/>
    </xf>
    <xf numFmtId="0" fontId="0" fillId="2" borderId="8" xfId="0" applyFill="1" applyBorder="1" applyAlignment="1" applyProtection="1">
      <alignment horizontal="left" vertical="center" wrapText="1" indent="1"/>
      <protection locked="0"/>
    </xf>
    <xf numFmtId="0" fontId="0" fillId="2" borderId="19" xfId="0" applyFill="1" applyBorder="1" applyAlignment="1" applyProtection="1">
      <alignment horizontal="left" vertical="center" wrapText="1" indent="1"/>
      <protection locked="0"/>
    </xf>
    <xf numFmtId="0" fontId="0" fillId="2" borderId="1" xfId="0" applyFill="1" applyBorder="1" applyAlignment="1" applyProtection="1">
      <alignment horizontal="left" vertical="center" wrapText="1" indent="1"/>
      <protection locked="0"/>
    </xf>
    <xf numFmtId="0" fontId="0" fillId="2" borderId="20" xfId="0" applyFill="1" applyBorder="1" applyAlignment="1" applyProtection="1">
      <alignment horizontal="left" vertical="center" wrapText="1" indent="1"/>
      <protection locked="0"/>
    </xf>
    <xf numFmtId="0" fontId="0" fillId="2" borderId="9" xfId="0" applyFill="1" applyBorder="1" applyAlignment="1" applyProtection="1">
      <alignment horizontal="left" vertical="center" wrapText="1" indent="1"/>
      <protection locked="0"/>
    </xf>
    <xf numFmtId="0" fontId="0" fillId="2" borderId="10" xfId="0" applyFill="1" applyBorder="1" applyAlignment="1" applyProtection="1">
      <alignment horizontal="left" vertical="center" wrapText="1" indent="1"/>
      <protection locked="0"/>
    </xf>
    <xf numFmtId="0" fontId="0" fillId="2" borderId="11" xfId="0" applyFill="1" applyBorder="1" applyAlignment="1" applyProtection="1">
      <alignment horizontal="left" vertical="center" wrapText="1" indent="1"/>
      <protection locked="0"/>
    </xf>
    <xf numFmtId="0" fontId="14" fillId="3" borderId="29" xfId="0" applyFont="1" applyFill="1" applyBorder="1" applyAlignment="1" applyProtection="1">
      <alignment horizontal="left" vertical="center"/>
    </xf>
    <xf numFmtId="0" fontId="0" fillId="3" borderId="29" xfId="0" applyFill="1" applyBorder="1" applyAlignment="1" applyProtection="1">
      <alignment vertical="center"/>
    </xf>
    <xf numFmtId="0" fontId="0" fillId="3" borderId="26" xfId="0" applyFill="1" applyBorder="1" applyAlignment="1" applyProtection="1">
      <alignment horizontal="center" vertical="center"/>
    </xf>
    <xf numFmtId="0" fontId="0" fillId="3" borderId="57" xfId="0" applyFill="1" applyBorder="1" applyAlignment="1" applyProtection="1">
      <alignment horizontal="center" vertical="center"/>
    </xf>
    <xf numFmtId="169" fontId="0" fillId="2" borderId="1" xfId="0" applyNumberFormat="1" applyFill="1" applyBorder="1" applyAlignment="1" applyProtection="1">
      <alignment horizontal="left" indent="1"/>
      <protection locked="0"/>
    </xf>
    <xf numFmtId="169" fontId="0" fillId="2" borderId="20" xfId="0" applyNumberFormat="1" applyFill="1" applyBorder="1" applyAlignment="1" applyProtection="1">
      <alignment horizontal="left" indent="1"/>
      <protection locked="0"/>
    </xf>
    <xf numFmtId="9" fontId="0" fillId="2" borderId="10" xfId="2" applyFont="1" applyFill="1" applyBorder="1" applyAlignment="1" applyProtection="1">
      <alignment horizontal="left" indent="1"/>
      <protection locked="0"/>
    </xf>
    <xf numFmtId="9" fontId="0" fillId="2" borderId="11" xfId="2" applyFont="1" applyFill="1" applyBorder="1" applyAlignment="1" applyProtection="1">
      <alignment horizontal="left" indent="1"/>
      <protection locked="0"/>
    </xf>
    <xf numFmtId="0" fontId="0" fillId="2" borderId="2" xfId="0" applyFill="1" applyBorder="1" applyAlignment="1" applyProtection="1">
      <alignment horizontal="left" indent="1"/>
      <protection locked="0"/>
    </xf>
    <xf numFmtId="0" fontId="3" fillId="49" borderId="7" xfId="0" applyFont="1" applyFill="1" applyBorder="1" applyAlignment="1" applyProtection="1">
      <alignment horizontal="left" vertical="center" indent="1"/>
      <protection locked="0"/>
    </xf>
    <xf numFmtId="0" fontId="3" fillId="49" borderId="26" xfId="0" applyFont="1" applyFill="1" applyBorder="1" applyAlignment="1" applyProtection="1">
      <alignment horizontal="left" vertical="center" indent="1"/>
      <protection locked="0"/>
    </xf>
    <xf numFmtId="0" fontId="3" fillId="49" borderId="1" xfId="0" applyFont="1" applyFill="1" applyBorder="1" applyAlignment="1" applyProtection="1">
      <alignment horizontal="left" vertical="center" indent="1"/>
      <protection locked="0"/>
    </xf>
    <xf numFmtId="0" fontId="3" fillId="49" borderId="2" xfId="0" applyFont="1" applyFill="1" applyBorder="1" applyAlignment="1" applyProtection="1">
      <alignment horizontal="left" vertical="center" indent="1"/>
      <protection locked="0"/>
    </xf>
    <xf numFmtId="0" fontId="2" fillId="3" borderId="0" xfId="0" applyFont="1" applyFill="1" applyBorder="1" applyAlignment="1" applyProtection="1">
      <alignment horizontal="center" vertical="center"/>
    </xf>
    <xf numFmtId="1" fontId="2" fillId="3" borderId="6" xfId="1" applyNumberFormat="1" applyFont="1" applyFill="1" applyBorder="1" applyAlignment="1" applyProtection="1">
      <alignment horizontal="center" vertical="center"/>
    </xf>
    <xf numFmtId="1" fontId="2" fillId="3" borderId="8" xfId="1" applyNumberFormat="1" applyFont="1" applyFill="1" applyBorder="1" applyAlignment="1" applyProtection="1">
      <alignment horizontal="center" vertical="center"/>
    </xf>
    <xf numFmtId="9" fontId="0" fillId="3" borderId="19" xfId="2" applyFont="1" applyFill="1" applyBorder="1" applyAlignment="1" applyProtection="1">
      <alignment horizontal="center"/>
    </xf>
    <xf numFmtId="9" fontId="0" fillId="3" borderId="20" xfId="2" applyFont="1" applyFill="1" applyBorder="1" applyAlignment="1" applyProtection="1">
      <alignment horizontal="center"/>
    </xf>
    <xf numFmtId="0" fontId="13" fillId="3" borderId="13" xfId="0" applyFont="1" applyFill="1" applyBorder="1" applyProtection="1"/>
    <xf numFmtId="0" fontId="13" fillId="3" borderId="14" xfId="0" applyFont="1" applyFill="1" applyBorder="1" applyProtection="1"/>
    <xf numFmtId="0" fontId="0" fillId="3" borderId="6" xfId="0" applyFill="1" applyBorder="1" applyAlignment="1" applyProtection="1">
      <alignment horizontal="center" vertical="center"/>
    </xf>
    <xf numFmtId="0" fontId="0" fillId="3" borderId="7" xfId="0" applyFill="1" applyBorder="1" applyAlignment="1" applyProtection="1">
      <alignment horizontal="center" vertical="center"/>
    </xf>
    <xf numFmtId="177" fontId="0" fillId="2" borderId="9" xfId="0" applyNumberFormat="1" applyFill="1" applyBorder="1" applyAlignment="1" applyProtection="1">
      <alignment horizontal="center"/>
      <protection locked="0"/>
    </xf>
    <xf numFmtId="177" fontId="0" fillId="2" borderId="10" xfId="0" applyNumberFormat="1" applyFill="1" applyBorder="1" applyAlignment="1" applyProtection="1">
      <alignment horizontal="center"/>
      <protection locked="0"/>
    </xf>
    <xf numFmtId="0" fontId="0" fillId="3" borderId="0" xfId="0" applyFill="1" applyBorder="1" applyAlignment="1" applyProtection="1">
      <alignment horizontal="left" indent="1"/>
    </xf>
    <xf numFmtId="2" fontId="0" fillId="3" borderId="31" xfId="0" applyNumberFormat="1" applyFill="1" applyBorder="1" applyProtection="1"/>
    <xf numFmtId="2" fontId="0" fillId="3" borderId="5" xfId="0" applyNumberFormat="1" applyFill="1" applyBorder="1" applyProtection="1"/>
    <xf numFmtId="0" fontId="0" fillId="3" borderId="55" xfId="0" applyFill="1" applyBorder="1" applyAlignment="1" applyProtection="1">
      <alignment horizontal="center"/>
    </xf>
    <xf numFmtId="0" fontId="0" fillId="3" borderId="48" xfId="0" applyFill="1" applyBorder="1" applyAlignment="1" applyProtection="1">
      <alignment horizontal="center"/>
    </xf>
    <xf numFmtId="1" fontId="0" fillId="3" borderId="0" xfId="1" applyNumberFormat="1" applyFont="1" applyFill="1" applyAlignment="1" applyProtection="1">
      <alignment horizontal="center"/>
    </xf>
    <xf numFmtId="164" fontId="0" fillId="3" borderId="35" xfId="0" applyNumberFormat="1" applyFill="1" applyBorder="1" applyAlignment="1" applyProtection="1"/>
    <xf numFmtId="164" fontId="0" fillId="3" borderId="17" xfId="0" applyNumberFormat="1" applyFill="1" applyBorder="1" applyAlignment="1" applyProtection="1"/>
    <xf numFmtId="193" fontId="0" fillId="2" borderId="55" xfId="0" applyNumberFormat="1" applyFill="1" applyBorder="1" applyAlignment="1" applyProtection="1">
      <alignment horizontal="center"/>
    </xf>
    <xf numFmtId="193" fontId="0" fillId="2" borderId="48" xfId="0" applyNumberFormat="1" applyFill="1" applyBorder="1" applyAlignment="1" applyProtection="1">
      <alignment horizontal="center"/>
    </xf>
    <xf numFmtId="169" fontId="2" fillId="0" borderId="9" xfId="0" applyNumberFormat="1" applyFont="1" applyBorder="1" applyAlignment="1" applyProtection="1">
      <alignment horizontal="center" vertical="center"/>
    </xf>
    <xf numFmtId="169" fontId="2" fillId="0" borderId="10" xfId="0" applyNumberFormat="1" applyFont="1" applyBorder="1" applyAlignment="1" applyProtection="1">
      <alignment horizontal="center" vertical="center"/>
    </xf>
    <xf numFmtId="0" fontId="0" fillId="3" borderId="46" xfId="0" applyFill="1" applyBorder="1" applyAlignment="1">
      <alignment horizontal="center" vertical="center"/>
    </xf>
    <xf numFmtId="0" fontId="0" fillId="3" borderId="76" xfId="0" applyFill="1" applyBorder="1" applyAlignment="1">
      <alignment horizontal="center" vertical="center"/>
    </xf>
    <xf numFmtId="0" fontId="53" fillId="3" borderId="0" xfId="0" applyFont="1" applyFill="1" applyBorder="1" applyAlignment="1" applyProtection="1">
      <alignment horizontal="left" vertical="center"/>
      <protection locked="0"/>
    </xf>
    <xf numFmtId="0" fontId="48" fillId="3" borderId="2" xfId="0" applyFont="1" applyFill="1" applyBorder="1" applyAlignment="1" applyProtection="1">
      <alignment horizontal="left" vertical="center" indent="1" shrinkToFit="1"/>
      <protection locked="0"/>
    </xf>
    <xf numFmtId="0" fontId="48" fillId="3" borderId="3" xfId="0" applyFont="1" applyFill="1" applyBorder="1" applyAlignment="1" applyProtection="1">
      <alignment horizontal="left" vertical="center" indent="1" shrinkToFit="1"/>
      <protection locked="0"/>
    </xf>
    <xf numFmtId="0" fontId="41" fillId="3" borderId="2" xfId="0" applyFont="1" applyFill="1" applyBorder="1" applyAlignment="1" applyProtection="1">
      <alignment horizontal="center" vertical="center" shrinkToFit="1"/>
    </xf>
    <xf numFmtId="0" fontId="41" fillId="3" borderId="3" xfId="0" applyFont="1" applyFill="1" applyBorder="1" applyAlignment="1" applyProtection="1">
      <alignment horizontal="center" vertical="center" shrinkToFit="1"/>
    </xf>
    <xf numFmtId="0" fontId="41" fillId="3" borderId="21" xfId="0" applyFont="1" applyFill="1" applyBorder="1" applyAlignment="1" applyProtection="1">
      <alignment horizontal="center" vertical="center"/>
    </xf>
    <xf numFmtId="0" fontId="41" fillId="3" borderId="22" xfId="0" applyFont="1" applyFill="1" applyBorder="1" applyAlignment="1" applyProtection="1">
      <alignment horizontal="center" vertical="center"/>
    </xf>
    <xf numFmtId="0" fontId="41" fillId="3" borderId="7" xfId="0" applyFont="1" applyFill="1" applyBorder="1" applyAlignment="1" applyProtection="1">
      <alignment horizontal="center" vertical="center"/>
    </xf>
    <xf numFmtId="0" fontId="41" fillId="3" borderId="8" xfId="0" applyFont="1" applyFill="1" applyBorder="1" applyAlignment="1" applyProtection="1">
      <alignment horizontal="center" vertical="center"/>
    </xf>
    <xf numFmtId="0" fontId="41" fillId="3" borderId="1" xfId="0" applyFont="1" applyFill="1" applyBorder="1" applyAlignment="1" applyProtection="1">
      <alignment horizontal="left" vertical="top" indent="1"/>
      <protection locked="0"/>
    </xf>
    <xf numFmtId="0" fontId="41" fillId="3" borderId="20" xfId="0" applyFont="1" applyFill="1" applyBorder="1" applyAlignment="1" applyProtection="1">
      <alignment horizontal="left" vertical="top" indent="1"/>
      <protection locked="0"/>
    </xf>
    <xf numFmtId="0" fontId="41" fillId="3" borderId="10" xfId="0" applyFont="1" applyFill="1" applyBorder="1" applyAlignment="1" applyProtection="1">
      <alignment horizontal="left" vertical="top" indent="1"/>
      <protection locked="0"/>
    </xf>
    <xf numFmtId="0" fontId="41" fillId="3" borderId="11" xfId="0" applyFont="1" applyFill="1" applyBorder="1" applyAlignment="1" applyProtection="1">
      <alignment horizontal="left" vertical="top" indent="1"/>
      <protection locked="0"/>
    </xf>
    <xf numFmtId="0" fontId="48" fillId="3" borderId="51" xfId="0" applyFont="1" applyFill="1" applyBorder="1" applyAlignment="1" applyProtection="1">
      <alignment horizontal="left" vertical="center" indent="1" shrinkToFit="1"/>
      <protection locked="0"/>
    </xf>
    <xf numFmtId="0" fontId="48" fillId="3" borderId="52" xfId="0" applyFont="1" applyFill="1" applyBorder="1" applyAlignment="1" applyProtection="1">
      <alignment horizontal="left" vertical="center" indent="1" shrinkToFit="1"/>
      <protection locked="0"/>
    </xf>
    <xf numFmtId="0" fontId="0" fillId="3" borderId="6" xfId="0" applyFill="1" applyBorder="1" applyAlignment="1">
      <alignment horizontal="left" vertical="center"/>
    </xf>
    <xf numFmtId="0" fontId="0" fillId="3" borderId="7" xfId="0" applyFill="1" applyBorder="1" applyAlignment="1">
      <alignment horizontal="left" vertical="center"/>
    </xf>
    <xf numFmtId="0" fontId="0" fillId="3" borderId="19" xfId="0" applyFill="1" applyBorder="1" applyAlignment="1">
      <alignment horizontal="left" vertical="center"/>
    </xf>
    <xf numFmtId="0" fontId="0" fillId="3" borderId="1"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18" fillId="3" borderId="0" xfId="0" applyFont="1" applyFill="1" applyBorder="1" applyAlignment="1">
      <alignment shrinkToFit="1"/>
    </xf>
    <xf numFmtId="0" fontId="20" fillId="3" borderId="0" xfId="0" applyFont="1" applyFill="1" applyBorder="1"/>
    <xf numFmtId="0" fontId="24" fillId="3" borderId="0" xfId="0" applyFont="1" applyFill="1" applyBorder="1" applyAlignment="1">
      <alignment vertical="center" wrapText="1" shrinkToFit="1"/>
    </xf>
    <xf numFmtId="43" fontId="21" fillId="3" borderId="0" xfId="0" applyNumberFormat="1" applyFont="1" applyFill="1" applyBorder="1" applyAlignment="1">
      <alignment vertical="center"/>
    </xf>
    <xf numFmtId="0" fontId="22" fillId="3" borderId="0" xfId="0" applyFont="1" applyFill="1" applyBorder="1" applyAlignment="1">
      <alignment horizontal="left" vertical="center"/>
    </xf>
    <xf numFmtId="0" fontId="23" fillId="3" borderId="37" xfId="0" applyFont="1" applyFill="1" applyBorder="1" applyAlignment="1">
      <alignment horizontal="center" vertical="center" textRotation="90"/>
    </xf>
    <xf numFmtId="0" fontId="23" fillId="3" borderId="39" xfId="0" applyFont="1" applyFill="1" applyBorder="1" applyAlignment="1">
      <alignment horizontal="center" vertical="center" textRotation="90"/>
    </xf>
    <xf numFmtId="0" fontId="23" fillId="3" borderId="40" xfId="0" applyFont="1" applyFill="1" applyBorder="1" applyAlignment="1">
      <alignment horizontal="center" vertical="center" textRotation="90"/>
    </xf>
    <xf numFmtId="43" fontId="21" fillId="3" borderId="0" xfId="1" applyNumberFormat="1" applyFont="1" applyFill="1" applyBorder="1" applyAlignment="1">
      <alignment horizontal="left" vertical="center"/>
    </xf>
    <xf numFmtId="0" fontId="24" fillId="3" borderId="0" xfId="0" applyFont="1" applyFill="1" applyBorder="1" applyAlignment="1" applyProtection="1">
      <alignment vertical="center" wrapText="1" shrinkToFit="1"/>
      <protection locked="0"/>
    </xf>
    <xf numFmtId="0" fontId="20" fillId="3" borderId="0" xfId="0" applyFont="1" applyFill="1" applyBorder="1" applyProtection="1">
      <protection locked="0"/>
    </xf>
    <xf numFmtId="0" fontId="18" fillId="3" borderId="0" xfId="0" applyFont="1" applyFill="1" applyBorder="1" applyAlignment="1" applyProtection="1">
      <protection locked="0"/>
    </xf>
    <xf numFmtId="186" fontId="0" fillId="2" borderId="72" xfId="0" applyNumberFormat="1" applyFill="1" applyBorder="1" applyAlignment="1" applyProtection="1">
      <alignment horizontal="center" vertical="top"/>
      <protection locked="0"/>
    </xf>
    <xf numFmtId="186" fontId="0" fillId="2" borderId="60" xfId="0" applyNumberFormat="1" applyFill="1" applyBorder="1" applyAlignment="1" applyProtection="1">
      <alignment horizontal="center" vertical="top"/>
      <protection locked="0"/>
    </xf>
    <xf numFmtId="186" fontId="0" fillId="2" borderId="50" xfId="0" applyNumberFormat="1" applyFill="1" applyBorder="1" applyAlignment="1" applyProtection="1">
      <alignment horizontal="center" vertical="top"/>
      <protection locked="0"/>
    </xf>
    <xf numFmtId="185" fontId="0" fillId="3" borderId="73" xfId="1" applyNumberFormat="1" applyFont="1" applyFill="1" applyBorder="1" applyAlignment="1">
      <alignment horizontal="center" vertical="top"/>
    </xf>
    <xf numFmtId="185" fontId="0" fillId="3" borderId="44" xfId="1" applyNumberFormat="1" applyFont="1" applyFill="1" applyBorder="1" applyAlignment="1">
      <alignment horizontal="center" vertical="top"/>
    </xf>
    <xf numFmtId="185" fontId="0" fillId="3" borderId="49" xfId="1" applyNumberFormat="1" applyFont="1" applyFill="1" applyBorder="1" applyAlignment="1">
      <alignment horizontal="center" vertical="top"/>
    </xf>
    <xf numFmtId="0" fontId="0" fillId="2" borderId="1" xfId="0" applyNumberFormat="1" applyFill="1" applyBorder="1" applyAlignment="1" applyProtection="1">
      <alignment vertical="top" wrapText="1"/>
      <protection locked="0"/>
    </xf>
    <xf numFmtId="0" fontId="0" fillId="2" borderId="20" xfId="0" applyNumberFormat="1" applyFill="1" applyBorder="1" applyAlignment="1" applyProtection="1">
      <alignment vertical="top" wrapText="1"/>
      <protection locked="0"/>
    </xf>
    <xf numFmtId="0" fontId="0" fillId="2" borderId="10" xfId="0" applyNumberFormat="1" applyFill="1" applyBorder="1" applyAlignment="1" applyProtection="1">
      <alignment vertical="top" wrapText="1"/>
      <protection locked="0"/>
    </xf>
    <xf numFmtId="0" fontId="0" fillId="2" borderId="11" xfId="0" applyNumberFormat="1" applyFill="1" applyBorder="1" applyAlignment="1" applyProtection="1">
      <alignment vertical="top" wrapText="1"/>
      <protection locked="0"/>
    </xf>
    <xf numFmtId="0" fontId="0" fillId="2" borderId="7" xfId="0" applyNumberFormat="1" applyFill="1" applyBorder="1" applyAlignment="1" applyProtection="1">
      <alignment vertical="top" wrapText="1"/>
      <protection locked="0"/>
    </xf>
    <xf numFmtId="0" fontId="0" fillId="2" borderId="8" xfId="0" applyNumberFormat="1" applyFill="1" applyBorder="1" applyAlignment="1" applyProtection="1">
      <alignment vertical="top" wrapText="1"/>
      <protection locked="0"/>
    </xf>
    <xf numFmtId="0" fontId="0" fillId="3" borderId="0" xfId="0" applyFill="1" applyAlignment="1">
      <alignment horizontal="left" vertical="top"/>
    </xf>
    <xf numFmtId="0" fontId="0" fillId="2" borderId="12" xfId="0" applyFill="1" applyBorder="1" applyAlignment="1" applyProtection="1">
      <alignment horizontal="center" vertical="top"/>
      <protection locked="0"/>
    </xf>
    <xf numFmtId="0" fontId="0" fillId="2" borderId="13" xfId="0" applyFill="1" applyBorder="1" applyAlignment="1" applyProtection="1">
      <alignment horizontal="center" vertical="top"/>
      <protection locked="0"/>
    </xf>
    <xf numFmtId="0" fontId="0" fillId="2" borderId="14" xfId="0" applyFill="1" applyBorder="1" applyAlignment="1" applyProtection="1">
      <alignment horizontal="center" vertical="top"/>
      <protection locked="0"/>
    </xf>
    <xf numFmtId="0" fontId="0" fillId="2" borderId="28" xfId="0" applyFill="1" applyBorder="1" applyAlignment="1" applyProtection="1">
      <alignment horizontal="center" vertical="top"/>
      <protection locked="0"/>
    </xf>
    <xf numFmtId="0" fontId="0" fillId="2" borderId="0" xfId="0" applyFill="1" applyBorder="1" applyAlignment="1" applyProtection="1">
      <alignment horizontal="center" vertical="top"/>
      <protection locked="0"/>
    </xf>
    <xf numFmtId="0" fontId="0" fillId="2" borderId="29" xfId="0" applyFill="1" applyBorder="1" applyAlignment="1" applyProtection="1">
      <alignment horizontal="center" vertical="top"/>
      <protection locked="0"/>
    </xf>
    <xf numFmtId="0" fontId="0" fillId="2" borderId="15" xfId="0" applyFill="1" applyBorder="1" applyAlignment="1" applyProtection="1">
      <alignment horizontal="center" vertical="top"/>
      <protection locked="0"/>
    </xf>
    <xf numFmtId="0" fontId="0" fillId="2" borderId="16" xfId="0" applyFill="1" applyBorder="1" applyAlignment="1" applyProtection="1">
      <alignment horizontal="center" vertical="top"/>
      <protection locked="0"/>
    </xf>
    <xf numFmtId="0" fontId="0" fillId="2" borderId="17" xfId="0" applyFill="1" applyBorder="1" applyAlignment="1" applyProtection="1">
      <alignment horizontal="center" vertical="top"/>
      <protection locked="0"/>
    </xf>
    <xf numFmtId="183" fontId="0" fillId="3" borderId="55" xfId="0" applyNumberFormat="1" applyFill="1" applyBorder="1" applyAlignment="1">
      <alignment horizontal="left" indent="1"/>
    </xf>
    <xf numFmtId="183" fontId="0" fillId="3" borderId="54" xfId="0" applyNumberFormat="1" applyFill="1" applyBorder="1" applyAlignment="1">
      <alignment horizontal="left" indent="1"/>
    </xf>
    <xf numFmtId="0" fontId="0" fillId="3" borderId="42" xfId="0" applyFill="1" applyBorder="1" applyAlignment="1">
      <alignment horizontal="right" indent="1"/>
    </xf>
    <xf numFmtId="0" fontId="0" fillId="3" borderId="54" xfId="0" applyFill="1" applyBorder="1" applyAlignment="1">
      <alignment horizontal="right" indent="1"/>
    </xf>
    <xf numFmtId="0" fontId="2" fillId="3" borderId="73" xfId="0" applyFont="1" applyFill="1" applyBorder="1" applyAlignment="1">
      <alignment horizontal="left" indent="1"/>
    </xf>
    <xf numFmtId="0" fontId="2" fillId="3" borderId="74" xfId="0" applyFont="1" applyFill="1" applyBorder="1" applyAlignment="1">
      <alignment horizontal="left" inden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0" fillId="0" borderId="36" xfId="0" applyBorder="1"/>
    <xf numFmtId="0" fontId="0" fillId="0" borderId="3" xfId="0" applyBorder="1"/>
    <xf numFmtId="0" fontId="0" fillId="0" borderId="53" xfId="0" applyBorder="1"/>
    <xf numFmtId="0" fontId="0" fillId="0" borderId="52" xfId="0" applyBorder="1"/>
    <xf numFmtId="0" fontId="3" fillId="0" borderId="42" xfId="0" applyFont="1" applyBorder="1" applyAlignment="1">
      <alignment horizontal="center"/>
    </xf>
    <xf numFmtId="0" fontId="3" fillId="0" borderId="47" xfId="0" applyFont="1" applyBorder="1" applyAlignment="1">
      <alignment horizontal="center"/>
    </xf>
    <xf numFmtId="0" fontId="3" fillId="0" borderId="48" xfId="0" applyFont="1" applyBorder="1" applyAlignment="1">
      <alignment horizontal="center"/>
    </xf>
    <xf numFmtId="0" fontId="0" fillId="0" borderId="21" xfId="0" applyBorder="1"/>
    <xf numFmtId="0" fontId="0" fillId="0" borderId="23" xfId="0" applyBorder="1"/>
  </cellXfs>
  <cellStyles count="4">
    <cellStyle name="Lien hypertexte" xfId="3" builtinId="8"/>
    <cellStyle name="Milliers" xfId="1" builtinId="3"/>
    <cellStyle name="Normal" xfId="0" builtinId="0"/>
    <cellStyle name="Pourcentage" xfId="2" builtinId="5"/>
  </cellStyles>
  <dxfs count="80">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fill>
        <patternFill patternType="solid">
          <fgColor indexed="64"/>
          <bgColor theme="2"/>
        </patternFill>
      </fill>
    </dxf>
    <dxf>
      <font>
        <color theme="0"/>
      </font>
      <fill>
        <patternFill>
          <bgColor theme="1"/>
        </patternFill>
      </fill>
    </dxf>
    <dxf>
      <fill>
        <patternFill>
          <bgColor rgb="FFA6A6A6"/>
        </patternFill>
      </fill>
    </dxf>
    <dxf>
      <fill>
        <patternFill>
          <bgColor rgb="FF68B2FF"/>
        </patternFill>
      </fill>
    </dxf>
    <dxf>
      <font>
        <color theme="0"/>
      </font>
      <fill>
        <patternFill>
          <bgColor rgb="FF375623"/>
        </patternFill>
      </fill>
    </dxf>
    <dxf>
      <fill>
        <patternFill>
          <bgColor rgb="FFFFCA00"/>
        </patternFill>
      </fill>
    </dxf>
    <dxf>
      <fill>
        <patternFill>
          <bgColor rgb="FFDC6228"/>
        </patternFill>
      </fill>
    </dxf>
    <dxf>
      <font>
        <color theme="0"/>
      </font>
      <fill>
        <patternFill>
          <bgColor rgb="FFC00000"/>
        </patternFill>
      </fill>
    </dxf>
    <dxf>
      <font>
        <color theme="0"/>
      </font>
      <fill>
        <patternFill>
          <bgColor rgb="FF23177F"/>
        </patternFill>
      </fill>
    </dxf>
    <dxf>
      <font>
        <color theme="0"/>
      </font>
    </dxf>
    <dxf>
      <font>
        <color theme="0"/>
      </font>
    </dxf>
    <dxf>
      <font>
        <color theme="0"/>
      </font>
    </dxf>
    <dxf>
      <numFmt numFmtId="203" formatCode="0.00&quot; lit.&quot;"/>
    </dxf>
    <dxf>
      <font>
        <color rgb="FF006100"/>
      </font>
      <fill>
        <patternFill>
          <bgColor rgb="FFC6EFCE"/>
        </patternFill>
      </fill>
    </dxf>
    <dxf>
      <font>
        <color rgb="FF006100"/>
      </font>
      <fill>
        <patternFill>
          <bgColor rgb="FFC6EFCE"/>
        </patternFill>
      </fill>
    </dxf>
    <dxf>
      <font>
        <color theme="7" tint="0.79998168889431442"/>
      </font>
    </dxf>
    <dxf>
      <font>
        <color theme="0"/>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theme="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C6228"/>
      <color rgb="FFFFCA00"/>
      <color rgb="FFD4AF37"/>
      <color rgb="FF375623"/>
      <color rgb="FF23177F"/>
      <color rgb="FF68B2FF"/>
      <color rgb="FFA6A6A6"/>
      <color rgb="FFE2BF7F"/>
      <color rgb="FF14177F"/>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9</xdr:row>
      <xdr:rowOff>254000</xdr:rowOff>
    </xdr:from>
    <xdr:to>
      <xdr:col>17</xdr:col>
      <xdr:colOff>0</xdr:colOff>
      <xdr:row>27</xdr:row>
      <xdr:rowOff>76200</xdr:rowOff>
    </xdr:to>
    <xdr:pic>
      <xdr:nvPicPr>
        <xdr:cNvPr id="2" name="Image 1" descr="Résultat de recherche d'images pour &quot;roue des saveurs biere&quot;">
          <a:extLst>
            <a:ext uri="{FF2B5EF4-FFF2-40B4-BE49-F238E27FC236}">
              <a16:creationId xmlns:a16="http://schemas.microsoft.com/office/drawing/2014/main" id="{451B6C11-5D8F-4D48-AB13-64D0F73D43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95000" y="2768600"/>
          <a:ext cx="7429500" cy="7137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933606-FC8D-7442-964C-4B6326D49112}" name="Table2" displayName="Table2" ref="A2:Y102" totalsRowShown="0" headerRowDxfId="51" dataDxfId="50">
  <autoFilter ref="A2:Y102" xr:uid="{7B393A0D-63A7-FD45-8459-3C4583E1376D}"/>
  <sortState xmlns:xlrd2="http://schemas.microsoft.com/office/spreadsheetml/2017/richdata2" ref="A3:Y102">
    <sortCondition ref="A2:A102"/>
  </sortState>
  <tableColumns count="25">
    <tableColumn id="22" xr3:uid="{1362CE91-0EBD-1943-9267-4836A82F192C}" name="BJCP Style Name" dataDxfId="49" totalsRowDxfId="48"/>
    <tableColumn id="2" xr3:uid="{F8373664-9053-8A41-BBE6-191BE54DC3C9}" name="BJCP Family Name" dataDxfId="47" totalsRowDxfId="46"/>
    <tableColumn id="26" xr3:uid="{2C8AC199-52F5-7549-AFDA-19A1B9384B9B}" name="Balance: Balanced" dataDxfId="45" totalsRowDxfId="44"/>
    <tableColumn id="25" xr3:uid="{6752A8C2-4A35-FE45-9CB0-34BB141D7936}" name="Balance: Malty" dataDxfId="43" totalsRowDxfId="42"/>
    <tableColumn id="24" xr3:uid="{3C490987-49CA-5248-A8AE-F2DD792BD540}" name="Balance: Not Listed" dataDxfId="41" totalsRowDxfId="40"/>
    <tableColumn id="23" xr3:uid="{E1E72F91-6B89-5A40-BCDF-42759A2B10B6}" name="Balance: Bitter" dataDxfId="39" totalsRowDxfId="38"/>
    <tableColumn id="6" xr3:uid="{DB31511B-C2EA-1D4B-9E24-6F9638B81464}" name="Minimum SRM" dataDxfId="37" totalsRowDxfId="36"/>
    <tableColumn id="7" xr3:uid="{E035E93A-10A3-0847-9283-E78C47366A94}" name="Maximum SRM" dataDxfId="35" totalsRowDxfId="34"/>
    <tableColumn id="3" xr3:uid="{DC227B92-3827-0240-BB75-7A7D2F826D21}" name="Minimum EBC" dataDxfId="33" totalsRowDxfId="32">
      <calculatedColumnFormula>2*Table2[[#This Row],[Minimum SRM]]</calculatedColumnFormula>
    </tableColumn>
    <tableColumn id="1" xr3:uid="{927FB2A6-7491-3D4B-8452-5ED52D1EC214}" name="Maximum EBC" dataDxfId="31" totalsRowDxfId="30">
      <calculatedColumnFormula>2*Table2[[#This Row],[Minimum EBC]]</calculatedColumnFormula>
    </tableColumn>
    <tableColumn id="8" xr3:uid="{7E3E210F-8E05-5249-99CE-D3FE56DC55F3}" name="Minimum ABV" dataDxfId="29" totalsRowDxfId="28"/>
    <tableColumn id="9" xr3:uid="{032FAA64-7011-6547-851C-6D62545D3924}" name="Maximum ABV" dataDxfId="27" totalsRowDxfId="26"/>
    <tableColumn id="10" xr3:uid="{89164A91-B669-9244-BE9A-2212384F2B51}" name="Minimum OG" dataDxfId="25" totalsRowDxfId="24"/>
    <tableColumn id="11" xr3:uid="{9FC1B50C-1903-A14C-AFF4-750260417C11}" name="Maximum OG" dataDxfId="23" totalsRowDxfId="22"/>
    <tableColumn id="12" xr3:uid="{D85CB2C0-F8D2-5945-949E-6FD2982DE15E}" name="Minimum FG" dataDxfId="21" totalsRowDxfId="20"/>
    <tableColumn id="13" xr3:uid="{5D63E932-0BCF-C34A-9780-3E6F270D4252}" name="Maximum FG" dataDxfId="19" totalsRowDxfId="18"/>
    <tableColumn id="14" xr3:uid="{F2E03148-DBBA-7B47-9C5E-617FD075286D}" name="Minimum IBU" dataDxfId="17" totalsRowDxfId="16"/>
    <tableColumn id="15" xr3:uid="{DFC17486-FF95-D44C-8914-E84F27CF3652}" name="Maximum IBU" dataDxfId="15" totalsRowDxfId="14"/>
    <tableColumn id="16" xr3:uid="{78BC1DF5-90C6-844C-B7C4-75C91368ED79}" name="Average SRM" dataDxfId="13" totalsRowDxfId="12">
      <calculatedColumnFormula>(G3+H3)/2</calculatedColumnFormula>
    </tableColumn>
    <tableColumn id="4" xr3:uid="{CDDC380B-21CE-774B-8C86-5C4C5F89E394}" name="Average EBC" dataDxfId="11" totalsRowDxfId="10">
      <calculatedColumnFormula>Table2[[#This Row],[Average SRM]]*2</calculatedColumnFormula>
    </tableColumn>
    <tableColumn id="17" xr3:uid="{6FB3F61F-E5DA-EF43-A123-B0F77E9B0096}" name="Average ABV" dataDxfId="9" totalsRowDxfId="8">
      <calculatedColumnFormula>(K3+L3)/2</calculatedColumnFormula>
    </tableColumn>
    <tableColumn id="18" xr3:uid="{608996CD-2718-0A49-B4F6-D739AFBFBFD4}" name="Average OG" dataDxfId="7" totalsRowDxfId="6">
      <calculatedColumnFormula>(M3+N3)/2</calculatedColumnFormula>
    </tableColumn>
    <tableColumn id="19" xr3:uid="{7E37A29C-A9C0-3747-BBDD-04389B418D0E}" name="Average FG" dataDxfId="5" totalsRowDxfId="4">
      <calculatedColumnFormula>(O3+P3)/2</calculatedColumnFormula>
    </tableColumn>
    <tableColumn id="20" xr3:uid="{797F0F61-624E-7144-B30B-444D14AA64AF}" name="Average IBU" dataDxfId="3" totalsRowDxfId="2">
      <calculatedColumnFormula>(Q3+R3)/2</calculatedColumnFormula>
    </tableColumn>
    <tableColumn id="21" xr3:uid="{3A3CAEDB-FE31-FD4C-86F7-04C578062AC3}" name="IBU To OG Ratio for Average IBU and OG" dataDxfId="1" totalsRowDxfId="0">
      <calculatedColumnFormula>ROUND((X3/(V3*1000-1000)),2)</calculatedColumnFormula>
    </tableColumn>
  </tableColumns>
  <tableStyleInfo name="TableStyleMedium2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6" Type="http://schemas.openxmlformats.org/officeDocument/2006/relationships/hyperlink" Target="https://www.brewersfriend.com/yeasts/fermentis-safale-safbrew-wheat-beer-yeast-wb-06/" TargetMode="External"/><Relationship Id="rId21" Type="http://schemas.openxmlformats.org/officeDocument/2006/relationships/hyperlink" Target="https://www.brewersfriend.com/yeasts/fermentis-safale-safale-english-ale-yeast-s-04/" TargetMode="External"/><Relationship Id="rId42" Type="http://schemas.openxmlformats.org/officeDocument/2006/relationships/hyperlink" Target="https://www.brewersfriend.com/fermentables/weyermann-carafa-iii/" TargetMode="External"/><Relationship Id="rId47" Type="http://schemas.openxmlformats.org/officeDocument/2006/relationships/hyperlink" Target="https://www.brewersfriend.com/fermentables/weyermann-caramunich-type-1/" TargetMode="External"/><Relationship Id="rId63" Type="http://schemas.openxmlformats.org/officeDocument/2006/relationships/hyperlink" Target="https://www.brewersfriend.com/fermentables/weyermann-schill-cologne/" TargetMode="External"/><Relationship Id="rId68" Type="http://schemas.openxmlformats.org/officeDocument/2006/relationships/hyperlink" Target="https://www.brewersfriend.com/fermentables/flaked-oats/" TargetMode="External"/><Relationship Id="rId84" Type="http://schemas.openxmlformats.org/officeDocument/2006/relationships/hyperlink" Target="https://www.brewersfriend.com/fermentables/simpsons-golden-promise/" TargetMode="External"/><Relationship Id="rId89" Type="http://schemas.openxmlformats.org/officeDocument/2006/relationships/hyperlink" Target="https://www.brewersfriend.com/fermentables/simpsons-oat-malt/" TargetMode="External"/><Relationship Id="rId16" Type="http://schemas.openxmlformats.org/officeDocument/2006/relationships/hyperlink" Target="https://www.brewersfriend.com/yeasts/mangrove-jack-us-west-coast-yeast-m44/" TargetMode="External"/><Relationship Id="rId11" Type="http://schemas.openxmlformats.org/officeDocument/2006/relationships/hyperlink" Target="https://www.brewersfriend.com/yeasts/mangrove-jack-empire-ale-m15/" TargetMode="External"/><Relationship Id="rId32" Type="http://schemas.openxmlformats.org/officeDocument/2006/relationships/hyperlink" Target="https://www.brewersfriend.com/fermentables/weyermann-barke-munich-malt/" TargetMode="External"/><Relationship Id="rId37" Type="http://schemas.openxmlformats.org/officeDocument/2006/relationships/hyperlink" Target="https://www.brewersfriend.com/fermentables/weyermann-bohemian-pilsner-malt/" TargetMode="External"/><Relationship Id="rId53" Type="http://schemas.openxmlformats.org/officeDocument/2006/relationships/hyperlink" Target="https://www.brewersfriend.com/fermentables/weyermann-dark-wheat-malt/" TargetMode="External"/><Relationship Id="rId58" Type="http://schemas.openxmlformats.org/officeDocument/2006/relationships/hyperlink" Target="https://www.brewersfriend.com/fermentables/weyermann-pale-ale/" TargetMode="External"/><Relationship Id="rId74" Type="http://schemas.openxmlformats.org/officeDocument/2006/relationships/hyperlink" Target="https://www.brewersfriend.com/fermentables/simpsons-caramalt/" TargetMode="External"/><Relationship Id="rId79" Type="http://schemas.openxmlformats.org/officeDocument/2006/relationships/hyperlink" Target="https://www.brewersfriend.com/fermentables/simpsons-crystal-medium/" TargetMode="External"/><Relationship Id="rId5" Type="http://schemas.openxmlformats.org/officeDocument/2006/relationships/hyperlink" Target="https://www.brewersfriend.com/yeasts/mangrove-jack-belgian-tripel-m31/" TargetMode="External"/><Relationship Id="rId90" Type="http://schemas.openxmlformats.org/officeDocument/2006/relationships/hyperlink" Target="https://www.brewersfriend.com/fermentables/simpsons-pale-2-row/" TargetMode="External"/><Relationship Id="rId22" Type="http://schemas.openxmlformats.org/officeDocument/2006/relationships/hyperlink" Target="https://www.brewersfriend.com/yeasts/fermentis-safale-safale-german-ale-yeast-k-97/" TargetMode="External"/><Relationship Id="rId27" Type="http://schemas.openxmlformats.org/officeDocument/2006/relationships/hyperlink" Target="https://www.brewersfriend.com/yeasts/fermentis-safale-saflager-german-lager-yeast-s-23/" TargetMode="External"/><Relationship Id="rId43" Type="http://schemas.openxmlformats.org/officeDocument/2006/relationships/hyperlink" Target="https://www.brewersfriend.com/fermentables/weyermann-carafa-special-type-1/" TargetMode="External"/><Relationship Id="rId48" Type="http://schemas.openxmlformats.org/officeDocument/2006/relationships/hyperlink" Target="https://www.brewersfriend.com/fermentables/weyermann-caramunich-type-2/" TargetMode="External"/><Relationship Id="rId64" Type="http://schemas.openxmlformats.org/officeDocument/2006/relationships/hyperlink" Target="https://www.brewersfriend.com/fermentables/weyermann-special-w/" TargetMode="External"/><Relationship Id="rId69" Type="http://schemas.openxmlformats.org/officeDocument/2006/relationships/hyperlink" Target="https://www.brewersfriend.com/fermentables/flaked-rice/" TargetMode="External"/><Relationship Id="rId8" Type="http://schemas.openxmlformats.org/officeDocument/2006/relationships/hyperlink" Target="https://www.brewersfriend.com/yeasts/mangrove-jack-british-ale-yeast-m07/" TargetMode="External"/><Relationship Id="rId51" Type="http://schemas.openxmlformats.org/officeDocument/2006/relationships/hyperlink" Target="https://www.brewersfriend.com/fermentables/weyermann-chocolate-rye/" TargetMode="External"/><Relationship Id="rId72" Type="http://schemas.openxmlformats.org/officeDocument/2006/relationships/hyperlink" Target="https://www.brewersfriend.com/fermentables/simpsons-best-pale-ale/" TargetMode="External"/><Relationship Id="rId80" Type="http://schemas.openxmlformats.org/officeDocument/2006/relationships/hyperlink" Target="https://www.brewersfriend.com/fermentables/simpsons-drc/" TargetMode="External"/><Relationship Id="rId85" Type="http://schemas.openxmlformats.org/officeDocument/2006/relationships/hyperlink" Target="https://www.brewersfriend.com/fermentables/simpsons-heritage-crystal/" TargetMode="External"/><Relationship Id="rId93" Type="http://schemas.openxmlformats.org/officeDocument/2006/relationships/hyperlink" Target="https://www.brewersfriend.com/fermentables/simpsons-wheat/" TargetMode="External"/><Relationship Id="rId3" Type="http://schemas.openxmlformats.org/officeDocument/2006/relationships/hyperlink" Target="https://www.brewersfriend.com/yeasts/mangrove-jack-belgian-abbey-m47/" TargetMode="External"/><Relationship Id="rId12" Type="http://schemas.openxmlformats.org/officeDocument/2006/relationships/hyperlink" Target="https://www.brewersfriend.com/yeasts/mangrove-jack-french-saison-ale-m29/" TargetMode="External"/><Relationship Id="rId17" Type="http://schemas.openxmlformats.org/officeDocument/2006/relationships/hyperlink" Target="https://www.brewersfriend.com/yeasts/mangrove-jack-workhorse-beer-yeast-m10/" TargetMode="External"/><Relationship Id="rId25" Type="http://schemas.openxmlformats.org/officeDocument/2006/relationships/hyperlink" Target="https://www.brewersfriend.com/yeasts/fermentis-safale-safbrew-specialty-ale-yeast-t-58/" TargetMode="External"/><Relationship Id="rId33" Type="http://schemas.openxmlformats.org/officeDocument/2006/relationships/hyperlink" Target="https://www.brewersfriend.com/fermentables/weyermann-barke-pilsner-malt/" TargetMode="External"/><Relationship Id="rId38" Type="http://schemas.openxmlformats.org/officeDocument/2006/relationships/hyperlink" Target="https://www.brewersfriend.com/fermentables/weyermann-caraamber/" TargetMode="External"/><Relationship Id="rId46" Type="http://schemas.openxmlformats.org/officeDocument/2006/relationships/hyperlink" Target="https://www.brewersfriend.com/fermentables/weyermann-carahell/" TargetMode="External"/><Relationship Id="rId59" Type="http://schemas.openxmlformats.org/officeDocument/2006/relationships/hyperlink" Target="https://www.brewersfriend.com/fermentables/weyermann-pale-rye/" TargetMode="External"/><Relationship Id="rId67" Type="http://schemas.openxmlformats.org/officeDocument/2006/relationships/hyperlink" Target="https://www.brewersfriend.com/fermentables/flaked-corn/" TargetMode="External"/><Relationship Id="rId20" Type="http://schemas.openxmlformats.org/officeDocument/2006/relationships/hyperlink" Target="https://www.brewersfriend.com/yeasts/fermentis-safale-safale-belgian-saison-ale-yeast-be-134/" TargetMode="External"/><Relationship Id="rId41" Type="http://schemas.openxmlformats.org/officeDocument/2006/relationships/hyperlink" Target="https://www.brewersfriend.com/fermentables/weyermann-carafa-i/" TargetMode="External"/><Relationship Id="rId54" Type="http://schemas.openxmlformats.org/officeDocument/2006/relationships/hyperlink" Target="https://www.brewersfriend.com/fermentables/weyermann-extra-pale-premium-pilsner-malt/" TargetMode="External"/><Relationship Id="rId62" Type="http://schemas.openxmlformats.org/officeDocument/2006/relationships/hyperlink" Target="https://www.brewersfriend.com/fermentables/weyermann-roasted-barley/" TargetMode="External"/><Relationship Id="rId70" Type="http://schemas.openxmlformats.org/officeDocument/2006/relationships/hyperlink" Target="https://www.brewersfriend.com/fermentables/flaked-rye/" TargetMode="External"/><Relationship Id="rId75" Type="http://schemas.openxmlformats.org/officeDocument/2006/relationships/hyperlink" Target="https://www.brewersfriend.com/fermentables/simpsons-caramalt-light/" TargetMode="External"/><Relationship Id="rId83" Type="http://schemas.openxmlformats.org/officeDocument/2006/relationships/hyperlink" Target="https://www.brewersfriend.com/fermentables/simpsons-finest-pale-ale-maris-otter/" TargetMode="External"/><Relationship Id="rId88" Type="http://schemas.openxmlformats.org/officeDocument/2006/relationships/hyperlink" Target="https://www.brewersfriend.com/fermentables/simpsons-munich-malt/" TargetMode="External"/><Relationship Id="rId91" Type="http://schemas.openxmlformats.org/officeDocument/2006/relationships/hyperlink" Target="https://www.brewersfriend.com/fermentables/simpsons-t50/" TargetMode="External"/><Relationship Id="rId1" Type="http://schemas.openxmlformats.org/officeDocument/2006/relationships/hyperlink" Target="https://www.brewersfriend.com/yeasts/mangrove-jack-bavarian-lager-m76/" TargetMode="External"/><Relationship Id="rId6" Type="http://schemas.openxmlformats.org/officeDocument/2006/relationships/hyperlink" Target="https://www.brewersfriend.com/yeasts/mangrove-jack-belgian-wit-m21/" TargetMode="External"/><Relationship Id="rId15" Type="http://schemas.openxmlformats.org/officeDocument/2006/relationships/hyperlink" Target="https://www.brewersfriend.com/yeasts/mangrove-jack-newcastle-dark-ale-yeast-m03/" TargetMode="External"/><Relationship Id="rId23" Type="http://schemas.openxmlformats.org/officeDocument/2006/relationships/hyperlink" Target="https://www.brewersfriend.com/yeasts/fermentis-safale-safbrew-abbaye-yeast-be-256/" TargetMode="External"/><Relationship Id="rId28" Type="http://schemas.openxmlformats.org/officeDocument/2006/relationships/hyperlink" Target="https://www.brewersfriend.com/yeasts/fermentis-safale-saflager-german-lager-yeast-w-34-70/" TargetMode="External"/><Relationship Id="rId36" Type="http://schemas.openxmlformats.org/officeDocument/2006/relationships/hyperlink" Target="https://www.brewersfriend.com/fermentables/weyermann-bioland-pilsner-malt-(organic)/" TargetMode="External"/><Relationship Id="rId49" Type="http://schemas.openxmlformats.org/officeDocument/2006/relationships/hyperlink" Target="https://www.brewersfriend.com/fermentables/weyermann-caramunich-type-3/" TargetMode="External"/><Relationship Id="rId57" Type="http://schemas.openxmlformats.org/officeDocument/2006/relationships/hyperlink" Target="https://www.brewersfriend.com/fermentables/weyermann-oak-smoked-wheat-malt/" TargetMode="External"/><Relationship Id="rId10" Type="http://schemas.openxmlformats.org/officeDocument/2006/relationships/hyperlink" Target="https://www.brewersfriend.com/yeasts/mangrove-jack-californian-lager-m54/" TargetMode="External"/><Relationship Id="rId31" Type="http://schemas.openxmlformats.org/officeDocument/2006/relationships/hyperlink" Target="https://www.brewersfriend.com/fermentables/weyermann-acidulated/" TargetMode="External"/><Relationship Id="rId44" Type="http://schemas.openxmlformats.org/officeDocument/2006/relationships/hyperlink" Target="https://www.brewersfriend.com/fermentables/weyermann-carafa-special-type-iii/" TargetMode="External"/><Relationship Id="rId52" Type="http://schemas.openxmlformats.org/officeDocument/2006/relationships/hyperlink" Target="https://www.brewersfriend.com/fermentables/weyermann-cologne-malt/" TargetMode="External"/><Relationship Id="rId60" Type="http://schemas.openxmlformats.org/officeDocument/2006/relationships/hyperlink" Target="https://www.brewersfriend.com/fermentables/weyermann-pale-wheat/" TargetMode="External"/><Relationship Id="rId65" Type="http://schemas.openxmlformats.org/officeDocument/2006/relationships/hyperlink" Target="https://www.brewersfriend.com/fermentables/weyermann-vienna-malt/" TargetMode="External"/><Relationship Id="rId73" Type="http://schemas.openxmlformats.org/officeDocument/2006/relationships/hyperlink" Target="https://www.brewersfriend.com/fermentables/simpsons-black-malt/" TargetMode="External"/><Relationship Id="rId78" Type="http://schemas.openxmlformats.org/officeDocument/2006/relationships/hyperlink" Target="https://www.brewersfriend.com/fermentables/simpsons-crystal-dark/" TargetMode="External"/><Relationship Id="rId81" Type="http://schemas.openxmlformats.org/officeDocument/2006/relationships/hyperlink" Target="https://www.brewersfriend.com/fermentables/simpsons-extra-pale-ale-malt/" TargetMode="External"/><Relationship Id="rId86" Type="http://schemas.openxmlformats.org/officeDocument/2006/relationships/hyperlink" Target="https://www.brewersfriend.com/fermentables/simpsons-light-crystal/" TargetMode="External"/><Relationship Id="rId4" Type="http://schemas.openxmlformats.org/officeDocument/2006/relationships/hyperlink" Target="https://www.brewersfriend.com/yeasts/mangrove-jack-belgian-ale-yeast-m41/" TargetMode="External"/><Relationship Id="rId9" Type="http://schemas.openxmlformats.org/officeDocument/2006/relationships/hyperlink" Target="https://www.brewersfriend.com/yeasts/mangrove-jack-burton-union-yeast-m79/" TargetMode="External"/><Relationship Id="rId13" Type="http://schemas.openxmlformats.org/officeDocument/2006/relationships/hyperlink" Target="https://www.brewersfriend.com/yeasts/mangrove-jack-liberty-bell-ale-m36/" TargetMode="External"/><Relationship Id="rId18" Type="http://schemas.openxmlformats.org/officeDocument/2006/relationships/hyperlink" Target="https://www.brewersfriend.com/yeasts/fermentis-safale-safale-american-ale-yeast-us-05/" TargetMode="External"/><Relationship Id="rId39" Type="http://schemas.openxmlformats.org/officeDocument/2006/relationships/hyperlink" Target="https://www.brewersfriend.com/fermentables/weyermann-caraaroma/" TargetMode="External"/><Relationship Id="rId34" Type="http://schemas.openxmlformats.org/officeDocument/2006/relationships/hyperlink" Target="https://www.brewersfriend.com/fermentables/weyermann-barke-vienna/" TargetMode="External"/><Relationship Id="rId50" Type="http://schemas.openxmlformats.org/officeDocument/2006/relationships/hyperlink" Target="https://www.brewersfriend.com/fermentables/weyermann-carapils/" TargetMode="External"/><Relationship Id="rId55" Type="http://schemas.openxmlformats.org/officeDocument/2006/relationships/hyperlink" Target="https://www.brewersfriend.com/fermentables/weyermann-munich-dark/" TargetMode="External"/><Relationship Id="rId76" Type="http://schemas.openxmlformats.org/officeDocument/2006/relationships/hyperlink" Target="https://www.brewersfriend.com/fermentables/simpsons-chocolate-malt/" TargetMode="External"/><Relationship Id="rId7" Type="http://schemas.openxmlformats.org/officeDocument/2006/relationships/hyperlink" Target="https://www.brewersfriend.com/yeasts/mangrove-jack-bohemian-lager-yeast-m84/" TargetMode="External"/><Relationship Id="rId71" Type="http://schemas.openxmlformats.org/officeDocument/2006/relationships/hyperlink" Target="https://www.brewersfriend.com/fermentables/flaked-wheat/" TargetMode="External"/><Relationship Id="rId92" Type="http://schemas.openxmlformats.org/officeDocument/2006/relationships/hyperlink" Target="https://www.brewersfriend.com/fermentables/simpsons-vienna/" TargetMode="External"/><Relationship Id="rId2" Type="http://schemas.openxmlformats.org/officeDocument/2006/relationships/hyperlink" Target="https://www.brewersfriend.com/yeasts/mangrove-jack-bavarian-wheat-yeast-m20/" TargetMode="External"/><Relationship Id="rId29" Type="http://schemas.openxmlformats.org/officeDocument/2006/relationships/hyperlink" Target="https://www.brewersfriend.com/yeasts/fermentis-safale-saflager-swiss-lager-yeast-s-189/" TargetMode="External"/><Relationship Id="rId24" Type="http://schemas.openxmlformats.org/officeDocument/2006/relationships/hyperlink" Target="https://www.brewersfriend.com/yeasts/fermentis-safale-safbrew-general-belgian-yeast-s-33/" TargetMode="External"/><Relationship Id="rId40" Type="http://schemas.openxmlformats.org/officeDocument/2006/relationships/hyperlink" Target="https://www.brewersfriend.com/fermentables/weyermann-carabelge/" TargetMode="External"/><Relationship Id="rId45" Type="http://schemas.openxmlformats.org/officeDocument/2006/relationships/hyperlink" Target="https://www.brewersfriend.com/fermentables/weyermann-carafoam/" TargetMode="External"/><Relationship Id="rId66" Type="http://schemas.openxmlformats.org/officeDocument/2006/relationships/hyperlink" Target="https://www.brewersfriend.com/fermentables/flaked-barley/" TargetMode="External"/><Relationship Id="rId87" Type="http://schemas.openxmlformats.org/officeDocument/2006/relationships/hyperlink" Target="https://www.brewersfriend.com/fermentables/simpsons-maris-otter-pale/" TargetMode="External"/><Relationship Id="rId61" Type="http://schemas.openxmlformats.org/officeDocument/2006/relationships/hyperlink" Target="https://www.brewersfriend.com/fermentables/weyermann-pilsner/" TargetMode="External"/><Relationship Id="rId82" Type="http://schemas.openxmlformats.org/officeDocument/2006/relationships/hyperlink" Target="https://www.brewersfriend.com/fermentables/simpsons-finest-lager-malt/" TargetMode="External"/><Relationship Id="rId19" Type="http://schemas.openxmlformats.org/officeDocument/2006/relationships/hyperlink" Target="https://www.brewersfriend.com/yeasts/fermentis-safale-safale-american-ale-yeast-us-56/" TargetMode="External"/><Relationship Id="rId14" Type="http://schemas.openxmlformats.org/officeDocument/2006/relationships/hyperlink" Target="https://www.brewersfriend.com/yeasts/mangrove-jack-new-world-strong-ale-m42/" TargetMode="External"/><Relationship Id="rId30" Type="http://schemas.openxmlformats.org/officeDocument/2006/relationships/hyperlink" Target="https://www.brewersfriend.com/fermentables/weyermann-abbey-malt/" TargetMode="External"/><Relationship Id="rId35" Type="http://schemas.openxmlformats.org/officeDocument/2006/relationships/hyperlink" Target="https://www.brewersfriend.com/fermentables/weyermann-beech-smoked-barley/" TargetMode="External"/><Relationship Id="rId56" Type="http://schemas.openxmlformats.org/officeDocument/2006/relationships/hyperlink" Target="https://www.brewersfriend.com/fermentables/weyermann-munich-type-i/" TargetMode="External"/><Relationship Id="rId77" Type="http://schemas.openxmlformats.org/officeDocument/2006/relationships/hyperlink" Target="https://www.brewersfriend.com/fermentables/simpsons-crisp-amber-malt/"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www.beersmith.com/Grains/Grains/grain_27.htm" TargetMode="External"/><Relationship Id="rId21" Type="http://schemas.openxmlformats.org/officeDocument/2006/relationships/hyperlink" Target="http://www.beersmith.com/Grains/Grains/grain_22.htm" TargetMode="External"/><Relationship Id="rId42" Type="http://schemas.openxmlformats.org/officeDocument/2006/relationships/hyperlink" Target="http://www.beersmith.com/Grains/Grains/grain_49.htm" TargetMode="External"/><Relationship Id="rId47" Type="http://schemas.openxmlformats.org/officeDocument/2006/relationships/hyperlink" Target="http://www.beersmith.com/Grains/Grains/grain_54.htm" TargetMode="External"/><Relationship Id="rId63" Type="http://schemas.openxmlformats.org/officeDocument/2006/relationships/hyperlink" Target="http://www.beersmith.com/Grains/Grains/grain_73.htm" TargetMode="External"/><Relationship Id="rId68" Type="http://schemas.openxmlformats.org/officeDocument/2006/relationships/hyperlink" Target="http://www.beersmith.com/Grains/Grains/grain_78.htm" TargetMode="External"/><Relationship Id="rId2" Type="http://schemas.openxmlformats.org/officeDocument/2006/relationships/hyperlink" Target="http://www.beersmith.com/Grains/Grains/grain_3.htm" TargetMode="External"/><Relationship Id="rId16" Type="http://schemas.openxmlformats.org/officeDocument/2006/relationships/hyperlink" Target="http://www.beersmith.com/Grains/Grains/grain_17.htm" TargetMode="External"/><Relationship Id="rId29" Type="http://schemas.openxmlformats.org/officeDocument/2006/relationships/hyperlink" Target="http://www.beersmith.com/Grains/Grains/grain_30.htm" TargetMode="External"/><Relationship Id="rId11" Type="http://schemas.openxmlformats.org/officeDocument/2006/relationships/hyperlink" Target="http://www.beersmith.com/Grains/Grains/grain_12.htm" TargetMode="External"/><Relationship Id="rId24" Type="http://schemas.openxmlformats.org/officeDocument/2006/relationships/hyperlink" Target="http://www.beersmith.com/Grains/Grains/grain_25.htm" TargetMode="External"/><Relationship Id="rId32" Type="http://schemas.openxmlformats.org/officeDocument/2006/relationships/hyperlink" Target="http://www.beersmith.com/Grains/Grains/grain_34.htm" TargetMode="External"/><Relationship Id="rId37" Type="http://schemas.openxmlformats.org/officeDocument/2006/relationships/hyperlink" Target="http://www.beersmith.com/Grains/Grains/grain_42.htm" TargetMode="External"/><Relationship Id="rId40" Type="http://schemas.openxmlformats.org/officeDocument/2006/relationships/hyperlink" Target="http://www.beersmith.com/Grains/Grains/grain_47.htm" TargetMode="External"/><Relationship Id="rId45" Type="http://schemas.openxmlformats.org/officeDocument/2006/relationships/hyperlink" Target="http://www.beersmith.com/Grains/Grains/grain_52.htm" TargetMode="External"/><Relationship Id="rId53" Type="http://schemas.openxmlformats.org/officeDocument/2006/relationships/hyperlink" Target="http://www.beersmith.com/Grains/Grains/grain_61.htm" TargetMode="External"/><Relationship Id="rId58" Type="http://schemas.openxmlformats.org/officeDocument/2006/relationships/hyperlink" Target="http://www.beersmith.com/Grains/Grains/grain_68.htm" TargetMode="External"/><Relationship Id="rId66" Type="http://schemas.openxmlformats.org/officeDocument/2006/relationships/hyperlink" Target="http://www.beersmith.com/Grains/Grains/grain_76.htm" TargetMode="External"/><Relationship Id="rId74" Type="http://schemas.openxmlformats.org/officeDocument/2006/relationships/hyperlink" Target="http://www.beersmith.com/Grains/Grains/grain_86.htm" TargetMode="External"/><Relationship Id="rId5" Type="http://schemas.openxmlformats.org/officeDocument/2006/relationships/hyperlink" Target="http://www.beersmith.com/Grains/Grains/grain_6.htm" TargetMode="External"/><Relationship Id="rId61" Type="http://schemas.openxmlformats.org/officeDocument/2006/relationships/hyperlink" Target="http://www.beersmith.com/Grains/Grains/grain_71.htm" TargetMode="External"/><Relationship Id="rId19" Type="http://schemas.openxmlformats.org/officeDocument/2006/relationships/hyperlink" Target="http://www.beersmith.com/Grains/Grains/grain_20.htm" TargetMode="External"/><Relationship Id="rId14" Type="http://schemas.openxmlformats.org/officeDocument/2006/relationships/hyperlink" Target="http://www.beersmith.com/Grains/Grains/grain_15.htm" TargetMode="External"/><Relationship Id="rId22" Type="http://schemas.openxmlformats.org/officeDocument/2006/relationships/hyperlink" Target="http://www.beersmith.com/Grains/Grains/grain_23.htm" TargetMode="External"/><Relationship Id="rId27" Type="http://schemas.openxmlformats.org/officeDocument/2006/relationships/hyperlink" Target="http://www.beersmith.com/Grains/Grains/grain_28.htm" TargetMode="External"/><Relationship Id="rId30" Type="http://schemas.openxmlformats.org/officeDocument/2006/relationships/hyperlink" Target="http://www.beersmith.com/Grains/Grains/grain_31.htm" TargetMode="External"/><Relationship Id="rId35" Type="http://schemas.openxmlformats.org/officeDocument/2006/relationships/hyperlink" Target="http://www.beersmith.com/Grains/Grains/grain_37.htm" TargetMode="External"/><Relationship Id="rId43" Type="http://schemas.openxmlformats.org/officeDocument/2006/relationships/hyperlink" Target="http://www.beersmith.com/Grains/Grains/grain_50.htm" TargetMode="External"/><Relationship Id="rId48" Type="http://schemas.openxmlformats.org/officeDocument/2006/relationships/hyperlink" Target="http://www.beersmith.com/Grains/Grains/grain_55.htm" TargetMode="External"/><Relationship Id="rId56" Type="http://schemas.openxmlformats.org/officeDocument/2006/relationships/hyperlink" Target="http://www.beersmith.com/Grains/Grains/grain_64.htm" TargetMode="External"/><Relationship Id="rId64" Type="http://schemas.openxmlformats.org/officeDocument/2006/relationships/hyperlink" Target="http://www.beersmith.com/Grains/Grains/grain_74.htm" TargetMode="External"/><Relationship Id="rId69" Type="http://schemas.openxmlformats.org/officeDocument/2006/relationships/hyperlink" Target="http://www.beersmith.com/Grains/Grains/grain_79.htm" TargetMode="External"/><Relationship Id="rId8" Type="http://schemas.openxmlformats.org/officeDocument/2006/relationships/hyperlink" Target="http://www.beersmith.com/Grains/Grains/grain_9.htm" TargetMode="External"/><Relationship Id="rId51" Type="http://schemas.openxmlformats.org/officeDocument/2006/relationships/hyperlink" Target="http://www.beersmith.com/Grains/Grains/grain_59.htm" TargetMode="External"/><Relationship Id="rId72" Type="http://schemas.openxmlformats.org/officeDocument/2006/relationships/hyperlink" Target="http://www.beersmith.com/Grains/Grains/grain_84.htm" TargetMode="External"/><Relationship Id="rId3" Type="http://schemas.openxmlformats.org/officeDocument/2006/relationships/hyperlink" Target="http://www.beersmith.com/Grains/Grains/grain_4.htm" TargetMode="External"/><Relationship Id="rId12" Type="http://schemas.openxmlformats.org/officeDocument/2006/relationships/hyperlink" Target="http://www.beersmith.com/Grains/Grains/grain_13.htm" TargetMode="External"/><Relationship Id="rId17" Type="http://schemas.openxmlformats.org/officeDocument/2006/relationships/hyperlink" Target="http://www.beersmith.com/Grains/Grains/grain_18.htm" TargetMode="External"/><Relationship Id="rId25" Type="http://schemas.openxmlformats.org/officeDocument/2006/relationships/hyperlink" Target="http://www.beersmith.com/Grains/Grains/grain_26.htm" TargetMode="External"/><Relationship Id="rId33" Type="http://schemas.openxmlformats.org/officeDocument/2006/relationships/hyperlink" Target="http://www.beersmith.com/Grains/Grains/grain_35.htm" TargetMode="External"/><Relationship Id="rId38" Type="http://schemas.openxmlformats.org/officeDocument/2006/relationships/hyperlink" Target="http://www.beersmith.com/Grains/Grains/grain_44.htm" TargetMode="External"/><Relationship Id="rId46" Type="http://schemas.openxmlformats.org/officeDocument/2006/relationships/hyperlink" Target="http://www.beersmith.com/Grains/Grains/grain_53.htm" TargetMode="External"/><Relationship Id="rId59" Type="http://schemas.openxmlformats.org/officeDocument/2006/relationships/hyperlink" Target="http://www.beersmith.com/Grains/Grains/grain_69.htm" TargetMode="External"/><Relationship Id="rId67" Type="http://schemas.openxmlformats.org/officeDocument/2006/relationships/hyperlink" Target="http://www.beersmith.com/Grains/Grains/grain_77.htm" TargetMode="External"/><Relationship Id="rId20" Type="http://schemas.openxmlformats.org/officeDocument/2006/relationships/hyperlink" Target="http://www.beersmith.com/Grains/Grains/grain_21.htm" TargetMode="External"/><Relationship Id="rId41" Type="http://schemas.openxmlformats.org/officeDocument/2006/relationships/hyperlink" Target="http://www.beersmith.com/Grains/Grains/grain_48.htm" TargetMode="External"/><Relationship Id="rId54" Type="http://schemas.openxmlformats.org/officeDocument/2006/relationships/hyperlink" Target="http://www.beersmith.com/Grains/Grains/grain_62.htm" TargetMode="External"/><Relationship Id="rId62" Type="http://schemas.openxmlformats.org/officeDocument/2006/relationships/hyperlink" Target="http://www.beersmith.com/Grains/Grains/grain_72.htm" TargetMode="External"/><Relationship Id="rId70" Type="http://schemas.openxmlformats.org/officeDocument/2006/relationships/hyperlink" Target="http://www.beersmith.com/Grains/Grains/grain_82.htm" TargetMode="External"/><Relationship Id="rId75" Type="http://schemas.openxmlformats.org/officeDocument/2006/relationships/hyperlink" Target="http://www.beersmith.com/Grains/Grains/grain_87.htm" TargetMode="External"/><Relationship Id="rId1" Type="http://schemas.openxmlformats.org/officeDocument/2006/relationships/hyperlink" Target="http://www.beersmith.com/Grains/Grains/grain_0.htm" TargetMode="External"/><Relationship Id="rId6" Type="http://schemas.openxmlformats.org/officeDocument/2006/relationships/hyperlink" Target="http://www.beersmith.com/Grains/Grains/grain_7.htm" TargetMode="External"/><Relationship Id="rId15" Type="http://schemas.openxmlformats.org/officeDocument/2006/relationships/hyperlink" Target="http://www.beersmith.com/Grains/Grains/grain_16.htm" TargetMode="External"/><Relationship Id="rId23" Type="http://schemas.openxmlformats.org/officeDocument/2006/relationships/hyperlink" Target="http://www.beersmith.com/Grains/Grains/grain_24.htm" TargetMode="External"/><Relationship Id="rId28" Type="http://schemas.openxmlformats.org/officeDocument/2006/relationships/hyperlink" Target="http://www.beersmith.com/Grains/Grains/grain_29.htm" TargetMode="External"/><Relationship Id="rId36" Type="http://schemas.openxmlformats.org/officeDocument/2006/relationships/hyperlink" Target="http://www.beersmith.com/Grains/Grains/grain_40.htm" TargetMode="External"/><Relationship Id="rId49" Type="http://schemas.openxmlformats.org/officeDocument/2006/relationships/hyperlink" Target="http://www.beersmith.com/Grains/Grains/grain_57.htm" TargetMode="External"/><Relationship Id="rId57" Type="http://schemas.openxmlformats.org/officeDocument/2006/relationships/hyperlink" Target="http://www.beersmith.com/Grains/Grains/grain_67.htm" TargetMode="External"/><Relationship Id="rId10" Type="http://schemas.openxmlformats.org/officeDocument/2006/relationships/hyperlink" Target="http://www.beersmith.com/Grains/Grains/grain_11.htm" TargetMode="External"/><Relationship Id="rId31" Type="http://schemas.openxmlformats.org/officeDocument/2006/relationships/hyperlink" Target="http://www.beersmith.com/Grains/Grains/grain_32.htm" TargetMode="External"/><Relationship Id="rId44" Type="http://schemas.openxmlformats.org/officeDocument/2006/relationships/hyperlink" Target="http://www.beersmith.com/Grains/Grains/grain_51.htm" TargetMode="External"/><Relationship Id="rId52" Type="http://schemas.openxmlformats.org/officeDocument/2006/relationships/hyperlink" Target="http://www.beersmith.com/Grains/Grains/grain_60.htm" TargetMode="External"/><Relationship Id="rId60" Type="http://schemas.openxmlformats.org/officeDocument/2006/relationships/hyperlink" Target="http://www.beersmith.com/Grains/Grains/grain_70.htm" TargetMode="External"/><Relationship Id="rId65" Type="http://schemas.openxmlformats.org/officeDocument/2006/relationships/hyperlink" Target="http://www.beersmith.com/Grains/Grains/grain_75.htm" TargetMode="External"/><Relationship Id="rId73" Type="http://schemas.openxmlformats.org/officeDocument/2006/relationships/hyperlink" Target="http://www.beersmith.com/Grains/Grains/grain_85.htm" TargetMode="External"/><Relationship Id="rId4" Type="http://schemas.openxmlformats.org/officeDocument/2006/relationships/hyperlink" Target="http://www.beersmith.com/Grains/Grains/grain_5.htm" TargetMode="External"/><Relationship Id="rId9" Type="http://schemas.openxmlformats.org/officeDocument/2006/relationships/hyperlink" Target="http://www.beersmith.com/Grains/Grains/grain_10.htm" TargetMode="External"/><Relationship Id="rId13" Type="http://schemas.openxmlformats.org/officeDocument/2006/relationships/hyperlink" Target="http://www.beersmith.com/Grains/Grains/grain_14.htm" TargetMode="External"/><Relationship Id="rId18" Type="http://schemas.openxmlformats.org/officeDocument/2006/relationships/hyperlink" Target="http://www.beersmith.com/Grains/Grains/grain_19.htm" TargetMode="External"/><Relationship Id="rId39" Type="http://schemas.openxmlformats.org/officeDocument/2006/relationships/hyperlink" Target="http://www.beersmith.com/Grains/Grains/grain_46.htm" TargetMode="External"/><Relationship Id="rId34" Type="http://schemas.openxmlformats.org/officeDocument/2006/relationships/hyperlink" Target="http://www.beersmith.com/Grains/Grains/grain_36.htm" TargetMode="External"/><Relationship Id="rId50" Type="http://schemas.openxmlformats.org/officeDocument/2006/relationships/hyperlink" Target="http://www.beersmith.com/Grains/Grains/grain_58.htm" TargetMode="External"/><Relationship Id="rId55" Type="http://schemas.openxmlformats.org/officeDocument/2006/relationships/hyperlink" Target="http://www.beersmith.com/Grains/Grains/grain_63.htm" TargetMode="External"/><Relationship Id="rId76" Type="http://schemas.openxmlformats.org/officeDocument/2006/relationships/hyperlink" Target="http://www.beersmith.com/Grains/Grains/grain_88.htm" TargetMode="External"/><Relationship Id="rId7" Type="http://schemas.openxmlformats.org/officeDocument/2006/relationships/hyperlink" Target="http://www.beersmith.com/Grains/Grains/grain_8.htm" TargetMode="External"/><Relationship Id="rId71" Type="http://schemas.openxmlformats.org/officeDocument/2006/relationships/hyperlink" Target="http://www.beersmith.com/Grains/Grains/grain_83.htm"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www.greenflashbrew.com/" TargetMode="External"/><Relationship Id="rId21" Type="http://schemas.openxmlformats.org/officeDocument/2006/relationships/hyperlink" Target="https://www.craftbeer.com/breweries/find-a-us-brewery" TargetMode="External"/><Relationship Id="rId63" Type="http://schemas.openxmlformats.org/officeDocument/2006/relationships/hyperlink" Target="http://www.rubiconbrewing.com/" TargetMode="External"/><Relationship Id="rId159" Type="http://schemas.openxmlformats.org/officeDocument/2006/relationships/hyperlink" Target="https://www.craftbeer.com/breweries/find-a-us-brewery" TargetMode="External"/><Relationship Id="rId170" Type="http://schemas.openxmlformats.org/officeDocument/2006/relationships/hyperlink" Target="http://www.thirdstreetaleworks.com/BREWERY/Beers.aspx" TargetMode="External"/><Relationship Id="rId226" Type="http://schemas.openxmlformats.org/officeDocument/2006/relationships/hyperlink" Target="http://www.firestonebeer.com/" TargetMode="External"/><Relationship Id="rId268" Type="http://schemas.openxmlformats.org/officeDocument/2006/relationships/hyperlink" Target="http://www.pizzaport.com/" TargetMode="External"/><Relationship Id="rId32" Type="http://schemas.openxmlformats.org/officeDocument/2006/relationships/hyperlink" Target="http://www.greatlakesbrewing.com/home" TargetMode="External"/><Relationship Id="rId74" Type="http://schemas.openxmlformats.org/officeDocument/2006/relationships/hyperlink" Target="http://www.creaturecomfortsbeer.com/" TargetMode="External"/><Relationship Id="rId128" Type="http://schemas.openxmlformats.org/officeDocument/2006/relationships/hyperlink" Target="http://redcypressbrewery.com/" TargetMode="External"/><Relationship Id="rId5" Type="http://schemas.openxmlformats.org/officeDocument/2006/relationships/hyperlink" Target="https://www.craftbeer.com/breweries/find-a-us-brewery" TargetMode="External"/><Relationship Id="rId95" Type="http://schemas.openxmlformats.org/officeDocument/2006/relationships/hyperlink" Target="http://www.oldehickorybrewery.com/" TargetMode="External"/><Relationship Id="rId160" Type="http://schemas.openxmlformats.org/officeDocument/2006/relationships/hyperlink" Target="https://brewersassociation.wufoo.com/forms/m11sr41e006n9kk/" TargetMode="External"/><Relationship Id="rId181" Type="http://schemas.openxmlformats.org/officeDocument/2006/relationships/hyperlink" Target="https://smuttynose.com/" TargetMode="External"/><Relationship Id="rId216" Type="http://schemas.openxmlformats.org/officeDocument/2006/relationships/hyperlink" Target="http://www.greatlakesbrewing.com/" TargetMode="External"/><Relationship Id="rId237" Type="http://schemas.openxmlformats.org/officeDocument/2006/relationships/hyperlink" Target="http://greatdivide.com/" TargetMode="External"/><Relationship Id="rId258" Type="http://schemas.openxmlformats.org/officeDocument/2006/relationships/hyperlink" Target="http://www.dogfish.com/" TargetMode="External"/><Relationship Id="rId22" Type="http://schemas.openxmlformats.org/officeDocument/2006/relationships/hyperlink" Target="https://brewersassociation.wufoo.com/forms/m11sr41e006n9kk/" TargetMode="External"/><Relationship Id="rId43" Type="http://schemas.openxmlformats.org/officeDocument/2006/relationships/hyperlink" Target="http://drydockbrewing.com/" TargetMode="External"/><Relationship Id="rId64" Type="http://schemas.openxmlformats.org/officeDocument/2006/relationships/hyperlink" Target="http://portsmouthbrewery.com/" TargetMode="External"/><Relationship Id="rId118" Type="http://schemas.openxmlformats.org/officeDocument/2006/relationships/hyperlink" Target="https://www.blackbottlebrewery.com/" TargetMode="External"/><Relationship Id="rId139" Type="http://schemas.openxmlformats.org/officeDocument/2006/relationships/hyperlink" Target="http://www.greatlakesbrewing.com/" TargetMode="External"/><Relationship Id="rId85" Type="http://schemas.openxmlformats.org/officeDocument/2006/relationships/hyperlink" Target="http://www.alesmith.com/" TargetMode="External"/><Relationship Id="rId150" Type="http://schemas.openxmlformats.org/officeDocument/2006/relationships/hyperlink" Target="http://www.ironhillbrewery.com/" TargetMode="External"/><Relationship Id="rId171" Type="http://schemas.openxmlformats.org/officeDocument/2006/relationships/hyperlink" Target="http://www.pizzaport.com/" TargetMode="External"/><Relationship Id="rId192" Type="http://schemas.openxmlformats.org/officeDocument/2006/relationships/hyperlink" Target="http://www.alesongbrewing.com/" TargetMode="External"/><Relationship Id="rId206" Type="http://schemas.openxmlformats.org/officeDocument/2006/relationships/hyperlink" Target="http://www.russianriverbrewing.com/" TargetMode="External"/><Relationship Id="rId227" Type="http://schemas.openxmlformats.org/officeDocument/2006/relationships/hyperlink" Target="http://www.snakeriverbrewing.com/" TargetMode="External"/><Relationship Id="rId248" Type="http://schemas.openxmlformats.org/officeDocument/2006/relationships/hyperlink" Target="https://www.craftbeer.com/breweries/find-a-us-brewery" TargetMode="External"/><Relationship Id="rId269" Type="http://schemas.openxmlformats.org/officeDocument/2006/relationships/hyperlink" Target="http://www.whitestreetbrewing.com/" TargetMode="External"/><Relationship Id="rId12" Type="http://schemas.openxmlformats.org/officeDocument/2006/relationships/hyperlink" Target="https://www.harpoonbrewery.com/" TargetMode="External"/><Relationship Id="rId33" Type="http://schemas.openxmlformats.org/officeDocument/2006/relationships/hyperlink" Target="https://sierranevada.com/" TargetMode="External"/><Relationship Id="rId108" Type="http://schemas.openxmlformats.org/officeDocument/2006/relationships/hyperlink" Target="http://www.lostabbey.com/" TargetMode="External"/><Relationship Id="rId129" Type="http://schemas.openxmlformats.org/officeDocument/2006/relationships/hyperlink" Target="http://www.grimmbrosbrewhouse.com/" TargetMode="External"/><Relationship Id="rId54" Type="http://schemas.openxmlformats.org/officeDocument/2006/relationships/hyperlink" Target="https://www.craftbeer.com/breweries/find-a-us-brewery" TargetMode="External"/><Relationship Id="rId75" Type="http://schemas.openxmlformats.org/officeDocument/2006/relationships/hyperlink" Target="http://www.thebruery.com/" TargetMode="External"/><Relationship Id="rId96" Type="http://schemas.openxmlformats.org/officeDocument/2006/relationships/hyperlink" Target="http://www.churchbrew.com/" TargetMode="External"/><Relationship Id="rId140" Type="http://schemas.openxmlformats.org/officeDocument/2006/relationships/hyperlink" Target="http://www.3floyds.com/" TargetMode="External"/><Relationship Id="rId161" Type="http://schemas.openxmlformats.org/officeDocument/2006/relationships/hyperlink" Target="http://www.rogue.com/" TargetMode="External"/><Relationship Id="rId182" Type="http://schemas.openxmlformats.org/officeDocument/2006/relationships/hyperlink" Target="https://www.greatlakesbrewing.com/" TargetMode="External"/><Relationship Id="rId217" Type="http://schemas.openxmlformats.org/officeDocument/2006/relationships/hyperlink" Target="http://bellsbeer.com/" TargetMode="External"/><Relationship Id="rId6" Type="http://schemas.openxmlformats.org/officeDocument/2006/relationships/hyperlink" Target="https://www.bootstrapbrewing.com/" TargetMode="External"/><Relationship Id="rId238" Type="http://schemas.openxmlformats.org/officeDocument/2006/relationships/hyperlink" Target="http://brooklynbrewery.com/" TargetMode="External"/><Relationship Id="rId259" Type="http://schemas.openxmlformats.org/officeDocument/2006/relationships/hyperlink" Target="https://www.craftbeer.com/breweries/find-a-us-brewery" TargetMode="External"/><Relationship Id="rId23" Type="http://schemas.openxmlformats.org/officeDocument/2006/relationships/hyperlink" Target="https://www.wibbybrewing.com/" TargetMode="External"/><Relationship Id="rId119" Type="http://schemas.openxmlformats.org/officeDocument/2006/relationships/hyperlink" Target="http://www.21st-amendment.com/" TargetMode="External"/><Relationship Id="rId270" Type="http://schemas.openxmlformats.org/officeDocument/2006/relationships/hyperlink" Target="http://lefthandbrewing.com/" TargetMode="External"/><Relationship Id="rId44" Type="http://schemas.openxmlformats.org/officeDocument/2006/relationships/hyperlink" Target="http://www.uintabrewing.com/" TargetMode="External"/><Relationship Id="rId65" Type="http://schemas.openxmlformats.org/officeDocument/2006/relationships/hyperlink" Target="https://www.craftbeer.com/breweries/find-a-us-brewery" TargetMode="External"/><Relationship Id="rId86" Type="http://schemas.openxmlformats.org/officeDocument/2006/relationships/hyperlink" Target="http://www.ninebandbrewing.com/" TargetMode="External"/><Relationship Id="rId130" Type="http://schemas.openxmlformats.org/officeDocument/2006/relationships/hyperlink" Target="http://www.publick.com/" TargetMode="External"/><Relationship Id="rId151" Type="http://schemas.openxmlformats.org/officeDocument/2006/relationships/hyperlink" Target="http://www.rockbottom.com/" TargetMode="External"/><Relationship Id="rId172" Type="http://schemas.openxmlformats.org/officeDocument/2006/relationships/hyperlink" Target="http://www.russianriverbrewing.com/" TargetMode="External"/><Relationship Id="rId193" Type="http://schemas.openxmlformats.org/officeDocument/2006/relationships/hyperlink" Target="https://www.russianriverbrewing.com/" TargetMode="External"/><Relationship Id="rId207" Type="http://schemas.openxmlformats.org/officeDocument/2006/relationships/hyperlink" Target="http://www.unioncraftbrewing.com/" TargetMode="External"/><Relationship Id="rId228" Type="http://schemas.openxmlformats.org/officeDocument/2006/relationships/hyperlink" Target="http://www.victorybeer.com/" TargetMode="External"/><Relationship Id="rId249" Type="http://schemas.openxmlformats.org/officeDocument/2006/relationships/hyperlink" Target="https://brewersassociation.wufoo.com/forms/m11sr41e006n9kk/" TargetMode="External"/><Relationship Id="rId13" Type="http://schemas.openxmlformats.org/officeDocument/2006/relationships/hyperlink" Target="https://realalebrewing.com/" TargetMode="External"/><Relationship Id="rId109" Type="http://schemas.openxmlformats.org/officeDocument/2006/relationships/hyperlink" Target="http://www.russianriverbrewing.com/" TargetMode="External"/><Relationship Id="rId260" Type="http://schemas.openxmlformats.org/officeDocument/2006/relationships/hyperlink" Target="https://brewersassociation.wufoo.com/forms/m11sr41e006n9kk/" TargetMode="External"/><Relationship Id="rId34" Type="http://schemas.openxmlformats.org/officeDocument/2006/relationships/hyperlink" Target="http://www.chuckanutbreweryandkitchen.com/" TargetMode="External"/><Relationship Id="rId55" Type="http://schemas.openxmlformats.org/officeDocument/2006/relationships/hyperlink" Target="https://brewersassociation.wufoo.com/forms/m11sr41e006n9kk/" TargetMode="External"/><Relationship Id="rId76" Type="http://schemas.openxmlformats.org/officeDocument/2006/relationships/hyperlink" Target="https://www.samueladams.com/" TargetMode="External"/><Relationship Id="rId97" Type="http://schemas.openxmlformats.org/officeDocument/2006/relationships/hyperlink" Target="http://roundaboutbeer.com/" TargetMode="External"/><Relationship Id="rId120" Type="http://schemas.openxmlformats.org/officeDocument/2006/relationships/hyperlink" Target="http://www.newglarusbrewing.com/" TargetMode="External"/><Relationship Id="rId141" Type="http://schemas.openxmlformats.org/officeDocument/2006/relationships/hyperlink" Target="http://twistedpinebrewing.com/" TargetMode="External"/><Relationship Id="rId7" Type="http://schemas.openxmlformats.org/officeDocument/2006/relationships/hyperlink" Target="http://www.sierranevada.com/" TargetMode="External"/><Relationship Id="rId162" Type="http://schemas.openxmlformats.org/officeDocument/2006/relationships/hyperlink" Target="http://www.deschutesbrewery.com/" TargetMode="External"/><Relationship Id="rId183" Type="http://schemas.openxmlformats.org/officeDocument/2006/relationships/hyperlink" Target="http://www.victorybeer.com/" TargetMode="External"/><Relationship Id="rId218" Type="http://schemas.openxmlformats.org/officeDocument/2006/relationships/hyperlink" Target="https://emmettsbrewingco.com/" TargetMode="External"/><Relationship Id="rId239" Type="http://schemas.openxmlformats.org/officeDocument/2006/relationships/hyperlink" Target="http://www.zwanzigz.com/" TargetMode="External"/><Relationship Id="rId250" Type="http://schemas.openxmlformats.org/officeDocument/2006/relationships/hyperlink" Target="http://www.deschutesbrewery.com/" TargetMode="External"/><Relationship Id="rId271" Type="http://schemas.openxmlformats.org/officeDocument/2006/relationships/hyperlink" Target="https://www.victorybeer.com/" TargetMode="External"/><Relationship Id="rId24" Type="http://schemas.openxmlformats.org/officeDocument/2006/relationships/hyperlink" Target="http://www.equinoxbrewing.com/" TargetMode="External"/><Relationship Id="rId45" Type="http://schemas.openxmlformats.org/officeDocument/2006/relationships/hyperlink" Target="http://www.brinkbrewing.com/" TargetMode="External"/><Relationship Id="rId66" Type="http://schemas.openxmlformats.org/officeDocument/2006/relationships/hyperlink" Target="https://brewersassociation.wufoo.com/forms/m11sr41e006n9kk/" TargetMode="External"/><Relationship Id="rId87" Type="http://schemas.openxmlformats.org/officeDocument/2006/relationships/hyperlink" Target="http://www.boxingbearbrewing.com/" TargetMode="External"/><Relationship Id="rId110" Type="http://schemas.openxmlformats.org/officeDocument/2006/relationships/hyperlink" Target="http://www.allagash.com/" TargetMode="External"/><Relationship Id="rId131" Type="http://schemas.openxmlformats.org/officeDocument/2006/relationships/hyperlink" Target="https://www.craftbeer.com/breweries/find-a-us-brewery" TargetMode="External"/><Relationship Id="rId152" Type="http://schemas.openxmlformats.org/officeDocument/2006/relationships/hyperlink" Target="http://www.deschutesbrewery.com/" TargetMode="External"/><Relationship Id="rId173" Type="http://schemas.openxmlformats.org/officeDocument/2006/relationships/hyperlink" Target="http://www.troegs.com/" TargetMode="External"/><Relationship Id="rId194" Type="http://schemas.openxmlformats.org/officeDocument/2006/relationships/hyperlink" Target="http://www.ardentcraftales.com/" TargetMode="External"/><Relationship Id="rId208" Type="http://schemas.openxmlformats.org/officeDocument/2006/relationships/hyperlink" Target="http://avbc.com/" TargetMode="External"/><Relationship Id="rId229" Type="http://schemas.openxmlformats.org/officeDocument/2006/relationships/hyperlink" Target="http://www.firestonebeer.com/" TargetMode="External"/><Relationship Id="rId240" Type="http://schemas.openxmlformats.org/officeDocument/2006/relationships/hyperlink" Target="https://www.craftbeer.com/breweries/find-a-us-brewery" TargetMode="External"/><Relationship Id="rId261" Type="http://schemas.openxmlformats.org/officeDocument/2006/relationships/hyperlink" Target="https://www.4nosesbrewing.com/" TargetMode="External"/><Relationship Id="rId14" Type="http://schemas.openxmlformats.org/officeDocument/2006/relationships/hyperlink" Target="http://www.blackravenbrewing.com/" TargetMode="External"/><Relationship Id="rId35" Type="http://schemas.openxmlformats.org/officeDocument/2006/relationships/hyperlink" Target="http://www.brooklynbrewery.com/" TargetMode="External"/><Relationship Id="rId56" Type="http://schemas.openxmlformats.org/officeDocument/2006/relationships/hyperlink" Target="http://fatheadscleveland.com/" TargetMode="External"/><Relationship Id="rId77" Type="http://schemas.openxmlformats.org/officeDocument/2006/relationships/hyperlink" Target="http://www.shiner.com/" TargetMode="External"/><Relationship Id="rId100" Type="http://schemas.openxmlformats.org/officeDocument/2006/relationships/hyperlink" Target="http://www.cannonballcreekbrewing.com/" TargetMode="External"/><Relationship Id="rId8" Type="http://schemas.openxmlformats.org/officeDocument/2006/relationships/hyperlink" Target="http://www.deschutesbrewery.com/" TargetMode="External"/><Relationship Id="rId98" Type="http://schemas.openxmlformats.org/officeDocument/2006/relationships/hyperlink" Target="http://www.allagash.com/" TargetMode="External"/><Relationship Id="rId121" Type="http://schemas.openxmlformats.org/officeDocument/2006/relationships/hyperlink" Target="http://www.detroitbeerco.com/" TargetMode="External"/><Relationship Id="rId142" Type="http://schemas.openxmlformats.org/officeDocument/2006/relationships/hyperlink" Target="http://www.longtrail.com/" TargetMode="External"/><Relationship Id="rId163" Type="http://schemas.openxmlformats.org/officeDocument/2006/relationships/hyperlink" Target="http://www.boisebrewing.com/" TargetMode="External"/><Relationship Id="rId184" Type="http://schemas.openxmlformats.org/officeDocument/2006/relationships/hyperlink" Target="http://www.alesmith.com/" TargetMode="External"/><Relationship Id="rId219" Type="http://schemas.openxmlformats.org/officeDocument/2006/relationships/hyperlink" Target="https://www.craftbeer.com/breweries/find-a-us-brewery" TargetMode="External"/><Relationship Id="rId230" Type="http://schemas.openxmlformats.org/officeDocument/2006/relationships/hyperlink" Target="http://www.21st-amendment.com/" TargetMode="External"/><Relationship Id="rId251" Type="http://schemas.openxmlformats.org/officeDocument/2006/relationships/hyperlink" Target="http://www.rockbottom.com/" TargetMode="External"/><Relationship Id="rId25" Type="http://schemas.openxmlformats.org/officeDocument/2006/relationships/hyperlink" Target="http://www.chuckanutbreweryandkitchen.com/" TargetMode="External"/><Relationship Id="rId46" Type="http://schemas.openxmlformats.org/officeDocument/2006/relationships/hyperlink" Target="http://www.stonebrewing.com/" TargetMode="External"/><Relationship Id="rId67" Type="http://schemas.openxmlformats.org/officeDocument/2006/relationships/hyperlink" Target="http://www.telluridebrewingco.com/" TargetMode="External"/><Relationship Id="rId272" Type="http://schemas.openxmlformats.org/officeDocument/2006/relationships/hyperlink" Target="https://www.wolverinebeer.com/" TargetMode="External"/><Relationship Id="rId88" Type="http://schemas.openxmlformats.org/officeDocument/2006/relationships/hyperlink" Target="http://www.portbrewing.com/" TargetMode="External"/><Relationship Id="rId111" Type="http://schemas.openxmlformats.org/officeDocument/2006/relationships/hyperlink" Target="https://www.boulevard.com/" TargetMode="External"/><Relationship Id="rId132" Type="http://schemas.openxmlformats.org/officeDocument/2006/relationships/hyperlink" Target="https://brewersassociation.wufoo.com/forms/m11sr41e006n9kk/" TargetMode="External"/><Relationship Id="rId153" Type="http://schemas.openxmlformats.org/officeDocument/2006/relationships/hyperlink" Target="http://www.alaskanbeer.com/" TargetMode="External"/><Relationship Id="rId174" Type="http://schemas.openxmlformats.org/officeDocument/2006/relationships/hyperlink" Target="http://www.tommyknocker.com/" TargetMode="External"/><Relationship Id="rId195" Type="http://schemas.openxmlformats.org/officeDocument/2006/relationships/hyperlink" Target="http://www.bendbrewingco.com/" TargetMode="External"/><Relationship Id="rId209" Type="http://schemas.openxmlformats.org/officeDocument/2006/relationships/hyperlink" Target="http://westbrookbrewing.com/" TargetMode="External"/><Relationship Id="rId220" Type="http://schemas.openxmlformats.org/officeDocument/2006/relationships/hyperlink" Target="https://brewersassociation.wufoo.com/forms/m11sr41e006n9kk/" TargetMode="External"/><Relationship Id="rId241" Type="http://schemas.openxmlformats.org/officeDocument/2006/relationships/hyperlink" Target="https://brewersassociation.wufoo.com/forms/m11sr41e006n9kk/" TargetMode="External"/><Relationship Id="rId15" Type="http://schemas.openxmlformats.org/officeDocument/2006/relationships/hyperlink" Target="http://odellbrewing.com/" TargetMode="External"/><Relationship Id="rId36" Type="http://schemas.openxmlformats.org/officeDocument/2006/relationships/hyperlink" Target="https://www.odellbrewing.com/" TargetMode="External"/><Relationship Id="rId57" Type="http://schemas.openxmlformats.org/officeDocument/2006/relationships/hyperlink" Target="http://www.melvinbrewing.com/" TargetMode="External"/><Relationship Id="rId262" Type="http://schemas.openxmlformats.org/officeDocument/2006/relationships/hyperlink" Target="http://www.stbcbeer.com/" TargetMode="External"/><Relationship Id="rId78" Type="http://schemas.openxmlformats.org/officeDocument/2006/relationships/hyperlink" Target="https://www.wibbybrewing.com/" TargetMode="External"/><Relationship Id="rId99" Type="http://schemas.openxmlformats.org/officeDocument/2006/relationships/hyperlink" Target="http://www.marinbrewing.com/" TargetMode="External"/><Relationship Id="rId101" Type="http://schemas.openxmlformats.org/officeDocument/2006/relationships/hyperlink" Target="https://www.avbc.com/" TargetMode="External"/><Relationship Id="rId122" Type="http://schemas.openxmlformats.org/officeDocument/2006/relationships/hyperlink" Target="http://www.twobrothersbrewing.com/" TargetMode="External"/><Relationship Id="rId143" Type="http://schemas.openxmlformats.org/officeDocument/2006/relationships/hyperlink" Target="http://www.shipyard.com/" TargetMode="External"/><Relationship Id="rId164" Type="http://schemas.openxmlformats.org/officeDocument/2006/relationships/hyperlink" Target="http://www.figmtnbrew.com/" TargetMode="External"/><Relationship Id="rId185" Type="http://schemas.openxmlformats.org/officeDocument/2006/relationships/hyperlink" Target="http://drydockbrewing.com/" TargetMode="External"/><Relationship Id="rId9" Type="http://schemas.openxmlformats.org/officeDocument/2006/relationships/hyperlink" Target="https://www.victorybeer.com/" TargetMode="External"/><Relationship Id="rId210" Type="http://schemas.openxmlformats.org/officeDocument/2006/relationships/hyperlink" Target="https://www.sixpoint.com/" TargetMode="External"/><Relationship Id="rId26" Type="http://schemas.openxmlformats.org/officeDocument/2006/relationships/hyperlink" Target="http://www.lostrhino.com/" TargetMode="External"/><Relationship Id="rId231" Type="http://schemas.openxmlformats.org/officeDocument/2006/relationships/hyperlink" Target="http://www.lynnwoodgrill.com/lynnwood-brewing-concern/" TargetMode="External"/><Relationship Id="rId252" Type="http://schemas.openxmlformats.org/officeDocument/2006/relationships/hyperlink" Target="http://www.altbrew.com/" TargetMode="External"/><Relationship Id="rId273" Type="http://schemas.openxmlformats.org/officeDocument/2006/relationships/hyperlink" Target="http://www.deschutesbrewery.com/" TargetMode="External"/><Relationship Id="rId47" Type="http://schemas.openxmlformats.org/officeDocument/2006/relationships/hyperlink" Target="http://www.bellsbeer.com/" TargetMode="External"/><Relationship Id="rId68" Type="http://schemas.openxmlformats.org/officeDocument/2006/relationships/hyperlink" Target="http://www.bellsbeer.com/" TargetMode="External"/><Relationship Id="rId89" Type="http://schemas.openxmlformats.org/officeDocument/2006/relationships/hyperlink" Target="http://www.ninkasibrewing.com/" TargetMode="External"/><Relationship Id="rId112" Type="http://schemas.openxmlformats.org/officeDocument/2006/relationships/hyperlink" Target="http://www.russianriverbrewing.com/" TargetMode="External"/><Relationship Id="rId133" Type="http://schemas.openxmlformats.org/officeDocument/2006/relationships/hyperlink" Target="http://www.ornerybeer.com/" TargetMode="External"/><Relationship Id="rId154" Type="http://schemas.openxmlformats.org/officeDocument/2006/relationships/hyperlink" Target="http://www.stonebrewing.com/" TargetMode="External"/><Relationship Id="rId175" Type="http://schemas.openxmlformats.org/officeDocument/2006/relationships/hyperlink" Target="http://www.greatlakesbrewing.com/" TargetMode="External"/><Relationship Id="rId196" Type="http://schemas.openxmlformats.org/officeDocument/2006/relationships/hyperlink" Target="http://www.jesterkingbrewery.com/" TargetMode="External"/><Relationship Id="rId200" Type="http://schemas.openxmlformats.org/officeDocument/2006/relationships/hyperlink" Target="http://www.newbelgium.com/" TargetMode="External"/><Relationship Id="rId16" Type="http://schemas.openxmlformats.org/officeDocument/2006/relationships/hyperlink" Target="http://peticolasbrewing.com/" TargetMode="External"/><Relationship Id="rId221" Type="http://schemas.openxmlformats.org/officeDocument/2006/relationships/hyperlink" Target="http://drydockbrewing.com/" TargetMode="External"/><Relationship Id="rId242" Type="http://schemas.openxmlformats.org/officeDocument/2006/relationships/hyperlink" Target="http://www.epicbrewing.com/" TargetMode="External"/><Relationship Id="rId263" Type="http://schemas.openxmlformats.org/officeDocument/2006/relationships/hyperlink" Target="http://www.dogfish.com/" TargetMode="External"/><Relationship Id="rId37" Type="http://schemas.openxmlformats.org/officeDocument/2006/relationships/hyperlink" Target="http://www.telluridebrewingco.com/" TargetMode="External"/><Relationship Id="rId58" Type="http://schemas.openxmlformats.org/officeDocument/2006/relationships/hyperlink" Target="http://www.surlybrewing.com/" TargetMode="External"/><Relationship Id="rId79" Type="http://schemas.openxmlformats.org/officeDocument/2006/relationships/hyperlink" Target="https://www.craftbeer.com/breweries/find-a-us-brewery" TargetMode="External"/><Relationship Id="rId102" Type="http://schemas.openxmlformats.org/officeDocument/2006/relationships/hyperlink" Target="http://www.elmcitybrewing.com/" TargetMode="External"/><Relationship Id="rId123" Type="http://schemas.openxmlformats.org/officeDocument/2006/relationships/hyperlink" Target="http://www.schlafly.com/" TargetMode="External"/><Relationship Id="rId144" Type="http://schemas.openxmlformats.org/officeDocument/2006/relationships/hyperlink" Target="http://www.duckrabbitbrewery.com/" TargetMode="External"/><Relationship Id="rId90" Type="http://schemas.openxmlformats.org/officeDocument/2006/relationships/hyperlink" Target="https://www.craftbeer.com/breweries/find-a-us-brewery" TargetMode="External"/><Relationship Id="rId165" Type="http://schemas.openxmlformats.org/officeDocument/2006/relationships/hyperlink" Target="http://www.millstreambrewing.com/" TargetMode="External"/><Relationship Id="rId186" Type="http://schemas.openxmlformats.org/officeDocument/2006/relationships/hyperlink" Target="http://www.pizzaport.com/" TargetMode="External"/><Relationship Id="rId211" Type="http://schemas.openxmlformats.org/officeDocument/2006/relationships/hyperlink" Target="https://www.newglarusbrewing.com/" TargetMode="External"/><Relationship Id="rId232" Type="http://schemas.openxmlformats.org/officeDocument/2006/relationships/hyperlink" Target="http://denverbeerco.com/" TargetMode="External"/><Relationship Id="rId253" Type="http://schemas.openxmlformats.org/officeDocument/2006/relationships/hyperlink" Target="http://nodabrewing.com/" TargetMode="External"/><Relationship Id="rId274" Type="http://schemas.openxmlformats.org/officeDocument/2006/relationships/hyperlink" Target="http://www.samueladams.com/" TargetMode="External"/><Relationship Id="rId27" Type="http://schemas.openxmlformats.org/officeDocument/2006/relationships/hyperlink" Target="http://www.shiner.com/" TargetMode="External"/><Relationship Id="rId48" Type="http://schemas.openxmlformats.org/officeDocument/2006/relationships/hyperlink" Target="http://www.georgetownbeer.com/" TargetMode="External"/><Relationship Id="rId69" Type="http://schemas.openxmlformats.org/officeDocument/2006/relationships/hyperlink" Target="http://www.altitudechophouse.com/" TargetMode="External"/><Relationship Id="rId113" Type="http://schemas.openxmlformats.org/officeDocument/2006/relationships/hyperlink" Target="http://www.funkwerks.com/" TargetMode="External"/><Relationship Id="rId134" Type="http://schemas.openxmlformats.org/officeDocument/2006/relationships/hyperlink" Target="http://www.lefthandbrewing.com/" TargetMode="External"/><Relationship Id="rId80" Type="http://schemas.openxmlformats.org/officeDocument/2006/relationships/hyperlink" Target="https://brewersassociation.wufoo.com/forms/m11sr41e006n9kk/" TargetMode="External"/><Relationship Id="rId155" Type="http://schemas.openxmlformats.org/officeDocument/2006/relationships/hyperlink" Target="https://www.epicbrewing.com/" TargetMode="External"/><Relationship Id="rId176" Type="http://schemas.openxmlformats.org/officeDocument/2006/relationships/hyperlink" Target="https://www.samueladams.com/" TargetMode="External"/><Relationship Id="rId197" Type="http://schemas.openxmlformats.org/officeDocument/2006/relationships/hyperlink" Target="https://www.karlstrauss.com/" TargetMode="External"/><Relationship Id="rId201" Type="http://schemas.openxmlformats.org/officeDocument/2006/relationships/hyperlink" Target="http://uplandbeer.com/" TargetMode="External"/><Relationship Id="rId222" Type="http://schemas.openxmlformats.org/officeDocument/2006/relationships/hyperlink" Target="https://www.victorybeer.com/" TargetMode="External"/><Relationship Id="rId243" Type="http://schemas.openxmlformats.org/officeDocument/2006/relationships/hyperlink" Target="http://alesmith.com/" TargetMode="External"/><Relationship Id="rId264" Type="http://schemas.openxmlformats.org/officeDocument/2006/relationships/hyperlink" Target="http://sweetwaterbrew.com/" TargetMode="External"/><Relationship Id="rId17" Type="http://schemas.openxmlformats.org/officeDocument/2006/relationships/hyperlink" Target="http://www.greatlakesbrewing.com/home" TargetMode="External"/><Relationship Id="rId38" Type="http://schemas.openxmlformats.org/officeDocument/2006/relationships/hyperlink" Target="https://www.craftbeer.com/breweries/find-a-us-brewery" TargetMode="External"/><Relationship Id="rId59" Type="http://schemas.openxmlformats.org/officeDocument/2006/relationships/hyperlink" Target="https://www.weldwerksbrewing.com/" TargetMode="External"/><Relationship Id="rId103" Type="http://schemas.openxmlformats.org/officeDocument/2006/relationships/hyperlink" Target="http://www.allagash.com/" TargetMode="External"/><Relationship Id="rId124" Type="http://schemas.openxmlformats.org/officeDocument/2006/relationships/hyperlink" Target="http://www.lostabbey.com/" TargetMode="External"/><Relationship Id="rId70" Type="http://schemas.openxmlformats.org/officeDocument/2006/relationships/hyperlink" Target="http://www.portcitybrewing.com/" TargetMode="External"/><Relationship Id="rId91" Type="http://schemas.openxmlformats.org/officeDocument/2006/relationships/hyperlink" Target="https://brewersassociation.wufoo.com/forms/m11sr41e006n9kk/" TargetMode="External"/><Relationship Id="rId145" Type="http://schemas.openxmlformats.org/officeDocument/2006/relationships/hyperlink" Target="http://www.smuttynose.com/" TargetMode="External"/><Relationship Id="rId166" Type="http://schemas.openxmlformats.org/officeDocument/2006/relationships/hyperlink" Target="http://www.firestonebeer.com/" TargetMode="External"/><Relationship Id="rId187" Type="http://schemas.openxmlformats.org/officeDocument/2006/relationships/hyperlink" Target="https://realalebrewing.com/" TargetMode="External"/><Relationship Id="rId1" Type="http://schemas.openxmlformats.org/officeDocument/2006/relationships/hyperlink" Target="https://www.craftbeer.com/beer/beer-styles-guide" TargetMode="External"/><Relationship Id="rId212" Type="http://schemas.openxmlformats.org/officeDocument/2006/relationships/hyperlink" Target="https://www.otxbc.com/" TargetMode="External"/><Relationship Id="rId233" Type="http://schemas.openxmlformats.org/officeDocument/2006/relationships/hyperlink" Target="http://www.perennialbeer.com/" TargetMode="External"/><Relationship Id="rId254" Type="http://schemas.openxmlformats.org/officeDocument/2006/relationships/hyperlink" Target="http://www.dogfish.com/" TargetMode="External"/><Relationship Id="rId28" Type="http://schemas.openxmlformats.org/officeDocument/2006/relationships/hyperlink" Target="http://www.victorybeer.com/" TargetMode="External"/><Relationship Id="rId49" Type="http://schemas.openxmlformats.org/officeDocument/2006/relationships/hyperlink" Target="https://www.craftbeer.com/breweries/find-a-us-brewery" TargetMode="External"/><Relationship Id="rId114" Type="http://schemas.openxmlformats.org/officeDocument/2006/relationships/hyperlink" Target="http://www.lostabbey.com/" TargetMode="External"/><Relationship Id="rId275" Type="http://schemas.openxmlformats.org/officeDocument/2006/relationships/hyperlink" Target="http://www.highwaterbrewing.com/" TargetMode="External"/><Relationship Id="rId60" Type="http://schemas.openxmlformats.org/officeDocument/2006/relationships/hyperlink" Target="https://www.greatnotionpdx.com/" TargetMode="External"/><Relationship Id="rId81" Type="http://schemas.openxmlformats.org/officeDocument/2006/relationships/hyperlink" Target="http://www.troegs.com/" TargetMode="External"/><Relationship Id="rId135" Type="http://schemas.openxmlformats.org/officeDocument/2006/relationships/hyperlink" Target="http://www.alaskanbeer.com/" TargetMode="External"/><Relationship Id="rId156" Type="http://schemas.openxmlformats.org/officeDocument/2006/relationships/hyperlink" Target="https://www.bellsbeer.com/" TargetMode="External"/><Relationship Id="rId177" Type="http://schemas.openxmlformats.org/officeDocument/2006/relationships/hyperlink" Target="http://www.greatdanepub.com/" TargetMode="External"/><Relationship Id="rId198" Type="http://schemas.openxmlformats.org/officeDocument/2006/relationships/hyperlink" Target="http://www.newglarusbrewing.com/" TargetMode="External"/><Relationship Id="rId202" Type="http://schemas.openxmlformats.org/officeDocument/2006/relationships/hyperlink" Target="http://www.allagash.com/" TargetMode="External"/><Relationship Id="rId223" Type="http://schemas.openxmlformats.org/officeDocument/2006/relationships/hyperlink" Target="http://theabgb.com/" TargetMode="External"/><Relationship Id="rId244" Type="http://schemas.openxmlformats.org/officeDocument/2006/relationships/hyperlink" Target="http://georgetownbeer.com/" TargetMode="External"/><Relationship Id="rId18" Type="http://schemas.openxmlformats.org/officeDocument/2006/relationships/hyperlink" Target="https://www.samueladams.com/" TargetMode="External"/><Relationship Id="rId39" Type="http://schemas.openxmlformats.org/officeDocument/2006/relationships/hyperlink" Target="https://brewersassociation.wufoo.com/forms/m11sr41e006n9kk/" TargetMode="External"/><Relationship Id="rId265" Type="http://schemas.openxmlformats.org/officeDocument/2006/relationships/hyperlink" Target="http://greatdivide.com/" TargetMode="External"/><Relationship Id="rId50" Type="http://schemas.openxmlformats.org/officeDocument/2006/relationships/hyperlink" Target="https://brewersassociation.wufoo.com/forms/m11sr41e006n9kk/" TargetMode="External"/><Relationship Id="rId104" Type="http://schemas.openxmlformats.org/officeDocument/2006/relationships/hyperlink" Target="http://www.northcoastbrewing.com/" TargetMode="External"/><Relationship Id="rId125" Type="http://schemas.openxmlformats.org/officeDocument/2006/relationships/hyperlink" Target="http://www.bauhausbrewlabs.com/" TargetMode="External"/><Relationship Id="rId146" Type="http://schemas.openxmlformats.org/officeDocument/2006/relationships/hyperlink" Target="http://www.lacumbrebrewing.com/" TargetMode="External"/><Relationship Id="rId167" Type="http://schemas.openxmlformats.org/officeDocument/2006/relationships/hyperlink" Target="http://lefthandbrewing.com/" TargetMode="External"/><Relationship Id="rId188" Type="http://schemas.openxmlformats.org/officeDocument/2006/relationships/hyperlink" Target="http://www.campbellbrewing.com/" TargetMode="External"/><Relationship Id="rId71" Type="http://schemas.openxmlformats.org/officeDocument/2006/relationships/hyperlink" Target="http://www.ommegang.com/" TargetMode="External"/><Relationship Id="rId92" Type="http://schemas.openxmlformats.org/officeDocument/2006/relationships/hyperlink" Target="http://www.weyerbacher.com/" TargetMode="External"/><Relationship Id="rId213" Type="http://schemas.openxmlformats.org/officeDocument/2006/relationships/hyperlink" Target="http://www.ninkasibrewing.com/" TargetMode="External"/><Relationship Id="rId234" Type="http://schemas.openxmlformats.org/officeDocument/2006/relationships/hyperlink" Target="http://www.firestonebeer.com/" TargetMode="External"/><Relationship Id="rId2" Type="http://schemas.openxmlformats.org/officeDocument/2006/relationships/hyperlink" Target="http://www.troegs.com/" TargetMode="External"/><Relationship Id="rId29" Type="http://schemas.openxmlformats.org/officeDocument/2006/relationships/hyperlink" Target="http://www.desperatetimesbrewery.com/" TargetMode="External"/><Relationship Id="rId255" Type="http://schemas.openxmlformats.org/officeDocument/2006/relationships/hyperlink" Target="http://www.lefthandbrewing.com/" TargetMode="External"/><Relationship Id="rId40" Type="http://schemas.openxmlformats.org/officeDocument/2006/relationships/hyperlink" Target="http://www.citystarbrewing.com/" TargetMode="External"/><Relationship Id="rId115" Type="http://schemas.openxmlformats.org/officeDocument/2006/relationships/hyperlink" Target="http://www.ommegang.com/" TargetMode="External"/><Relationship Id="rId136" Type="http://schemas.openxmlformats.org/officeDocument/2006/relationships/hyperlink" Target="https://www.craftbeer.com/breweries/find-a-us-brewery" TargetMode="External"/><Relationship Id="rId157" Type="http://schemas.openxmlformats.org/officeDocument/2006/relationships/hyperlink" Target="http://www.northcoastbrewing.com/" TargetMode="External"/><Relationship Id="rId178" Type="http://schemas.openxmlformats.org/officeDocument/2006/relationships/hyperlink" Target="http://www.bellsbeer.com/" TargetMode="External"/><Relationship Id="rId61" Type="http://schemas.openxmlformats.org/officeDocument/2006/relationships/hyperlink" Target="https://www.cellarmakerbrewing.com/" TargetMode="External"/><Relationship Id="rId82" Type="http://schemas.openxmlformats.org/officeDocument/2006/relationships/hyperlink" Target="http://www.cbpotts.com/" TargetMode="External"/><Relationship Id="rId199" Type="http://schemas.openxmlformats.org/officeDocument/2006/relationships/hyperlink" Target="http://www.thebruery.com/" TargetMode="External"/><Relationship Id="rId203" Type="http://schemas.openxmlformats.org/officeDocument/2006/relationships/hyperlink" Target="http://tworoadsbrewing.com/" TargetMode="External"/><Relationship Id="rId19" Type="http://schemas.openxmlformats.org/officeDocument/2006/relationships/hyperlink" Target="http://www.brooklynbrewery.com/" TargetMode="External"/><Relationship Id="rId224" Type="http://schemas.openxmlformats.org/officeDocument/2006/relationships/hyperlink" Target="https://www.craftbeer.com/breweries/find-a-us-brewery" TargetMode="External"/><Relationship Id="rId245" Type="http://schemas.openxmlformats.org/officeDocument/2006/relationships/hyperlink" Target="http://www.vertigobrew.com/" TargetMode="External"/><Relationship Id="rId266" Type="http://schemas.openxmlformats.org/officeDocument/2006/relationships/hyperlink" Target="https://www.breakside.com/" TargetMode="External"/><Relationship Id="rId30" Type="http://schemas.openxmlformats.org/officeDocument/2006/relationships/hyperlink" Target="http://www.sprecherbrewery.com/" TargetMode="External"/><Relationship Id="rId105" Type="http://schemas.openxmlformats.org/officeDocument/2006/relationships/hyperlink" Target="http://www.brooklynbrewery.com/" TargetMode="External"/><Relationship Id="rId126" Type="http://schemas.openxmlformats.org/officeDocument/2006/relationships/hyperlink" Target="http://www.stbcbeer.com/" TargetMode="External"/><Relationship Id="rId147" Type="http://schemas.openxmlformats.org/officeDocument/2006/relationships/hyperlink" Target="http://pineyriverbrewing.com/" TargetMode="External"/><Relationship Id="rId168" Type="http://schemas.openxmlformats.org/officeDocument/2006/relationships/hyperlink" Target="http://beachwoodbbq.com/" TargetMode="External"/><Relationship Id="rId51" Type="http://schemas.openxmlformats.org/officeDocument/2006/relationships/hyperlink" Target="https://coopersmithspub.com/" TargetMode="External"/><Relationship Id="rId72" Type="http://schemas.openxmlformats.org/officeDocument/2006/relationships/hyperlink" Target="http://www.allagash.com/" TargetMode="External"/><Relationship Id="rId93" Type="http://schemas.openxmlformats.org/officeDocument/2006/relationships/hyperlink" Target="http://www.northcoastbrewing.com/" TargetMode="External"/><Relationship Id="rId189" Type="http://schemas.openxmlformats.org/officeDocument/2006/relationships/hyperlink" Target="http://www.mauibrewingco.com/" TargetMode="External"/><Relationship Id="rId3" Type="http://schemas.openxmlformats.org/officeDocument/2006/relationships/hyperlink" Target="https://www.avbc.com/" TargetMode="External"/><Relationship Id="rId214" Type="http://schemas.openxmlformats.org/officeDocument/2006/relationships/hyperlink" Target="https://www.oskarblues.com/" TargetMode="External"/><Relationship Id="rId235" Type="http://schemas.openxmlformats.org/officeDocument/2006/relationships/hyperlink" Target="https://www.craftbeer.com/breweries/find-a-us-brewery" TargetMode="External"/><Relationship Id="rId256" Type="http://schemas.openxmlformats.org/officeDocument/2006/relationships/hyperlink" Target="http://greatsouthbaybrewery.com/" TargetMode="External"/><Relationship Id="rId116" Type="http://schemas.openxmlformats.org/officeDocument/2006/relationships/hyperlink" Target="http://www.allagash.com/" TargetMode="External"/><Relationship Id="rId137" Type="http://schemas.openxmlformats.org/officeDocument/2006/relationships/hyperlink" Target="https://brewersassociation.wufoo.com/forms/m11sr41e006n9kk/" TargetMode="External"/><Relationship Id="rId158" Type="http://schemas.openxmlformats.org/officeDocument/2006/relationships/hyperlink" Target="http://www.2spbrewing.com/" TargetMode="External"/><Relationship Id="rId20" Type="http://schemas.openxmlformats.org/officeDocument/2006/relationships/hyperlink" Target="http://www.figmtnbrew.com/" TargetMode="External"/><Relationship Id="rId41" Type="http://schemas.openxmlformats.org/officeDocument/2006/relationships/hyperlink" Target="http://alesmith.com/" TargetMode="External"/><Relationship Id="rId62" Type="http://schemas.openxmlformats.org/officeDocument/2006/relationships/hyperlink" Target="https://smuttynose.com/" TargetMode="External"/><Relationship Id="rId83" Type="http://schemas.openxmlformats.org/officeDocument/2006/relationships/hyperlink" Target="http://www.twobrothersbrewing.com/" TargetMode="External"/><Relationship Id="rId179" Type="http://schemas.openxmlformats.org/officeDocument/2006/relationships/hyperlink" Target="https://www.abita.com/" TargetMode="External"/><Relationship Id="rId190" Type="http://schemas.openxmlformats.org/officeDocument/2006/relationships/hyperlink" Target="http://www.saddlemountainbrewing.com/" TargetMode="External"/><Relationship Id="rId204" Type="http://schemas.openxmlformats.org/officeDocument/2006/relationships/hyperlink" Target="http://www.newglarusbrewing.com/" TargetMode="External"/><Relationship Id="rId225" Type="http://schemas.openxmlformats.org/officeDocument/2006/relationships/hyperlink" Target="https://brewersassociation.wufoo.com/forms/m11sr41e006n9kk/" TargetMode="External"/><Relationship Id="rId246" Type="http://schemas.openxmlformats.org/officeDocument/2006/relationships/hyperlink" Target="https://www.madbrew.com/" TargetMode="External"/><Relationship Id="rId267" Type="http://schemas.openxmlformats.org/officeDocument/2006/relationships/hyperlink" Target="http://www.perrystreetbrewing.com/" TargetMode="External"/><Relationship Id="rId106" Type="http://schemas.openxmlformats.org/officeDocument/2006/relationships/hyperlink" Target="http://www.12degree.com/" TargetMode="External"/><Relationship Id="rId127" Type="http://schemas.openxmlformats.org/officeDocument/2006/relationships/hyperlink" Target="http://www.steamworksbrewing.com/" TargetMode="External"/><Relationship Id="rId10" Type="http://schemas.openxmlformats.org/officeDocument/2006/relationships/hyperlink" Target="https://www.deschutesbrewery.com/" TargetMode="External"/><Relationship Id="rId31" Type="http://schemas.openxmlformats.org/officeDocument/2006/relationships/hyperlink" Target="https://www.samueladams.com/" TargetMode="External"/><Relationship Id="rId52" Type="http://schemas.openxmlformats.org/officeDocument/2006/relationships/hyperlink" Target="http://www.samueladams.com/" TargetMode="External"/><Relationship Id="rId73" Type="http://schemas.openxmlformats.org/officeDocument/2006/relationships/hyperlink" Target="http://www.ripsneakers.com/nodding/" TargetMode="External"/><Relationship Id="rId94" Type="http://schemas.openxmlformats.org/officeDocument/2006/relationships/hyperlink" Target="http://dicksbeer.com/" TargetMode="External"/><Relationship Id="rId148" Type="http://schemas.openxmlformats.org/officeDocument/2006/relationships/hyperlink" Target="http://www.holycitybrewing.com/" TargetMode="External"/><Relationship Id="rId169" Type="http://schemas.openxmlformats.org/officeDocument/2006/relationships/hyperlink" Target="http://www.bostonbeer.com/" TargetMode="External"/><Relationship Id="rId4" Type="http://schemas.openxmlformats.org/officeDocument/2006/relationships/hyperlink" Target="http://www.northcoastbrewing.com/" TargetMode="External"/><Relationship Id="rId180" Type="http://schemas.openxmlformats.org/officeDocument/2006/relationships/hyperlink" Target="http://madfoxbrewing.com/" TargetMode="External"/><Relationship Id="rId215" Type="http://schemas.openxmlformats.org/officeDocument/2006/relationships/hyperlink" Target="https://www.bagbybeer.com/" TargetMode="External"/><Relationship Id="rId236" Type="http://schemas.openxmlformats.org/officeDocument/2006/relationships/hyperlink" Target="https://brewersassociation.wufoo.com/forms/m11sr41e006n9kk/" TargetMode="External"/><Relationship Id="rId257" Type="http://schemas.openxmlformats.org/officeDocument/2006/relationships/hyperlink" Target="http://twistedpinebrewing.com/" TargetMode="External"/><Relationship Id="rId42" Type="http://schemas.openxmlformats.org/officeDocument/2006/relationships/hyperlink" Target="https://www.orlisonbrewing.com/" TargetMode="External"/><Relationship Id="rId84" Type="http://schemas.openxmlformats.org/officeDocument/2006/relationships/hyperlink" Target="http://www.sierranevada.com/" TargetMode="External"/><Relationship Id="rId138" Type="http://schemas.openxmlformats.org/officeDocument/2006/relationships/hyperlink" Target="http://www.glenwoodcanyon.com/" TargetMode="External"/><Relationship Id="rId191" Type="http://schemas.openxmlformats.org/officeDocument/2006/relationships/hyperlink" Target="https://www.craftbeer.com/craft-beer-muses/sour-beer-pickle-american-brewing" TargetMode="External"/><Relationship Id="rId205" Type="http://schemas.openxmlformats.org/officeDocument/2006/relationships/hyperlink" Target="http://www.uplandbeer.com/" TargetMode="External"/><Relationship Id="rId247" Type="http://schemas.openxmlformats.org/officeDocument/2006/relationships/hyperlink" Target="http://www.trinitybrew.com/" TargetMode="External"/><Relationship Id="rId107" Type="http://schemas.openxmlformats.org/officeDocument/2006/relationships/hyperlink" Target="http://www.ommegang.com/" TargetMode="External"/><Relationship Id="rId11" Type="http://schemas.openxmlformats.org/officeDocument/2006/relationships/hyperlink" Target="http://echobrewing.com/" TargetMode="External"/><Relationship Id="rId53" Type="http://schemas.openxmlformats.org/officeDocument/2006/relationships/hyperlink" Target="http://brooklynbrewery.com/" TargetMode="External"/><Relationship Id="rId149" Type="http://schemas.openxmlformats.org/officeDocument/2006/relationships/hyperlink" Target="http://www.backeastbrewing.com/home"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craftbeer.com/beer/beer-styles-guide"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8" Type="http://schemas.openxmlformats.org/officeDocument/2006/relationships/hyperlink" Target="http://www.brewps.com/mt-hood-hops-mt-hood-pellet-hops.html" TargetMode="External"/><Relationship Id="rId3" Type="http://schemas.openxmlformats.org/officeDocument/2006/relationships/hyperlink" Target="http://www.brewps.com/fuggles-hops-fuggles-pellet-hops.html" TargetMode="External"/><Relationship Id="rId7" Type="http://schemas.openxmlformats.org/officeDocument/2006/relationships/hyperlink" Target="http://www.brewps.com/hallertau-hersbrucker-hops-pellets.html" TargetMode="External"/><Relationship Id="rId2" Type="http://schemas.openxmlformats.org/officeDocument/2006/relationships/hyperlink" Target="http://www.brewps.com/centennial-hops-centennial-pellet-hops.html" TargetMode="External"/><Relationship Id="rId1" Type="http://schemas.openxmlformats.org/officeDocument/2006/relationships/hyperlink" Target="http://www.brewps.com/cascade-hops-cascade-pellet-hops.html" TargetMode="External"/><Relationship Id="rId6" Type="http://schemas.openxmlformats.org/officeDocument/2006/relationships/hyperlink" Target="http://www.brewps.com/hallertau-hops-hallertau-pellet-hops.html" TargetMode="External"/><Relationship Id="rId5" Type="http://schemas.openxmlformats.org/officeDocument/2006/relationships/hyperlink" Target="http://www.brewps.com/prod_images/small/BPS-HPKE02.jpg" TargetMode="External"/><Relationship Id="rId10" Type="http://schemas.openxmlformats.org/officeDocument/2006/relationships/hyperlink" Target="http://www.brewps.com/summit-hops-summit-pellet-hops.html" TargetMode="External"/><Relationship Id="rId4" Type="http://schemas.openxmlformats.org/officeDocument/2006/relationships/hyperlink" Target="http://www.brewps.com/fuggles-hops-fuggles-pellet-hops.html" TargetMode="External"/><Relationship Id="rId9" Type="http://schemas.openxmlformats.org/officeDocument/2006/relationships/hyperlink" Target="http://www.brewps.com/saaz-hops-saaz-czech-pellet-hops.html" TargetMode="External"/></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4486E-14F3-434A-ABD1-CC681816B3C7}">
  <sheetPr codeName="Feuil2"/>
  <dimension ref="A1:X63"/>
  <sheetViews>
    <sheetView workbookViewId="0">
      <selection activeCell="S22" sqref="S22"/>
    </sheetView>
  </sheetViews>
  <sheetFormatPr baseColWidth="10" defaultColWidth="0" defaultRowHeight="16" zeroHeight="1"/>
  <cols>
    <col min="1" max="1" width="7.6640625" style="55" customWidth="1"/>
    <col min="2" max="2" width="10.83203125" style="55" hidden="1" customWidth="1"/>
    <col min="3" max="3" width="10.83203125" style="1" customWidth="1"/>
    <col min="4" max="4" width="28.6640625" customWidth="1"/>
    <col min="5" max="5" width="9.6640625" style="1" customWidth="1"/>
    <col min="6" max="8" width="10.83203125" style="51" customWidth="1"/>
    <col min="9" max="9" width="16.6640625" style="51" customWidth="1"/>
    <col min="10" max="13" width="9.83203125" style="51" customWidth="1"/>
    <col min="14" max="14" width="18.5" style="1" customWidth="1"/>
    <col min="15" max="15" width="12.6640625" style="55" bestFit="1" customWidth="1"/>
    <col min="16" max="16" width="13.5" style="55" bestFit="1" customWidth="1"/>
    <col min="17" max="17" width="12.6640625" style="55" bestFit="1" customWidth="1"/>
    <col min="18" max="18" width="23.33203125" style="55" bestFit="1" customWidth="1"/>
    <col min="19" max="19" width="22" style="55" bestFit="1" customWidth="1"/>
    <col min="20" max="20" width="12.6640625" style="55" bestFit="1" customWidth="1"/>
    <col min="21" max="21" width="14.5" style="55" bestFit="1" customWidth="1"/>
    <col min="22" max="22" width="14.83203125" style="55" bestFit="1" customWidth="1"/>
    <col min="23" max="23" width="17.6640625" style="55" bestFit="1" customWidth="1"/>
    <col min="24" max="24" width="10.83203125" style="55" customWidth="1"/>
    <col min="25" max="16384" width="10.83203125" style="55" hidden="1"/>
  </cols>
  <sheetData>
    <row r="1" spans="3:23" ht="17" thickBot="1">
      <c r="C1" s="55"/>
      <c r="D1" s="55"/>
      <c r="E1" s="55"/>
      <c r="F1" s="6"/>
      <c r="G1" s="6"/>
      <c r="H1" s="6"/>
      <c r="I1" s="6"/>
      <c r="J1" s="6"/>
      <c r="K1" s="6"/>
      <c r="L1" s="6"/>
      <c r="M1" s="6"/>
      <c r="N1" s="55"/>
    </row>
    <row r="2" spans="3:23" ht="17" thickBot="1">
      <c r="C2" s="55"/>
      <c r="D2" s="55"/>
      <c r="E2" s="55"/>
      <c r="F2" s="57"/>
      <c r="H2" s="100">
        <f>Batch!K2</f>
        <v>12</v>
      </c>
      <c r="I2" s="67"/>
      <c r="J2" s="67"/>
      <c r="K2" s="67"/>
      <c r="L2" s="67"/>
      <c r="M2" s="67"/>
      <c r="N2" s="67"/>
    </row>
    <row r="3" spans="3:23">
      <c r="C3" s="789" t="s">
        <v>192</v>
      </c>
      <c r="D3" s="790"/>
      <c r="E3" s="790"/>
      <c r="F3" s="790"/>
      <c r="G3" s="790"/>
      <c r="H3" s="791"/>
      <c r="I3" s="68"/>
      <c r="J3" s="68"/>
      <c r="K3" s="68"/>
      <c r="L3" s="68"/>
      <c r="M3" s="68"/>
      <c r="N3" s="68"/>
      <c r="O3" s="58" t="s">
        <v>195</v>
      </c>
      <c r="P3" s="59" t="s">
        <v>196</v>
      </c>
      <c r="Q3" s="59" t="s">
        <v>197</v>
      </c>
      <c r="R3" s="59" t="s">
        <v>198</v>
      </c>
      <c r="S3" s="59" t="s">
        <v>199</v>
      </c>
      <c r="T3" s="59" t="s">
        <v>200</v>
      </c>
      <c r="U3" s="59" t="s">
        <v>201</v>
      </c>
      <c r="V3" s="59" t="s">
        <v>202</v>
      </c>
      <c r="W3" s="60" t="s">
        <v>203</v>
      </c>
    </row>
    <row r="4" spans="3:23">
      <c r="C4" s="785"/>
      <c r="D4" s="786"/>
      <c r="E4" s="54"/>
      <c r="F4" s="78"/>
      <c r="G4" s="80" t="str">
        <f>IF(C4="","","--&gt;")</f>
        <v/>
      </c>
      <c r="H4" s="97" t="str">
        <f t="shared" ref="H4:H17" si="0">IF(F4="","",(F4/$F$2)*$H$2)</f>
        <v/>
      </c>
      <c r="I4" s="83"/>
      <c r="J4" s="83"/>
      <c r="K4" s="83"/>
      <c r="L4" s="83"/>
      <c r="M4" s="83"/>
      <c r="N4" s="69"/>
      <c r="O4" s="61" t="s">
        <v>204</v>
      </c>
      <c r="P4" s="62" t="s">
        <v>205</v>
      </c>
      <c r="Q4" s="62" t="s">
        <v>41</v>
      </c>
      <c r="R4" s="62" t="s">
        <v>41</v>
      </c>
      <c r="S4" s="62" t="s">
        <v>206</v>
      </c>
      <c r="T4" s="62" t="s">
        <v>207</v>
      </c>
      <c r="U4" s="62" t="s">
        <v>205</v>
      </c>
      <c r="V4" s="62" t="s">
        <v>205</v>
      </c>
      <c r="W4" s="63" t="s">
        <v>205</v>
      </c>
    </row>
    <row r="5" spans="3:23">
      <c r="C5" s="785"/>
      <c r="D5" s="786"/>
      <c r="E5" s="54"/>
      <c r="F5" s="78"/>
      <c r="G5" s="81" t="str">
        <f t="shared" ref="G5:G17" si="1">IF(C5="","","--&gt;")</f>
        <v/>
      </c>
      <c r="H5" s="97" t="str">
        <f t="shared" si="0"/>
        <v/>
      </c>
      <c r="I5" s="83"/>
      <c r="J5" s="83"/>
      <c r="K5" s="83"/>
      <c r="L5" s="83"/>
      <c r="M5" s="83"/>
      <c r="N5" s="69"/>
      <c r="O5" s="779" t="s">
        <v>208</v>
      </c>
      <c r="P5" s="777" t="s">
        <v>208</v>
      </c>
      <c r="Q5" s="777" t="s">
        <v>208</v>
      </c>
      <c r="R5" s="62" t="s">
        <v>209</v>
      </c>
      <c r="S5" s="777" t="s">
        <v>208</v>
      </c>
      <c r="T5" s="777" t="s">
        <v>208</v>
      </c>
      <c r="U5" s="777" t="s">
        <v>207</v>
      </c>
      <c r="V5" s="777" t="s">
        <v>208</v>
      </c>
      <c r="W5" s="778" t="s">
        <v>208</v>
      </c>
    </row>
    <row r="6" spans="3:23">
      <c r="C6" s="785"/>
      <c r="D6" s="786"/>
      <c r="E6" s="54"/>
      <c r="F6" s="78"/>
      <c r="G6" s="81" t="str">
        <f t="shared" si="1"/>
        <v/>
      </c>
      <c r="H6" s="97" t="str">
        <f t="shared" si="0"/>
        <v/>
      </c>
      <c r="I6" s="83"/>
      <c r="J6" s="83"/>
      <c r="K6" s="83"/>
      <c r="L6" s="83"/>
      <c r="M6" s="83"/>
      <c r="N6" s="69"/>
      <c r="O6" s="779"/>
      <c r="P6" s="777"/>
      <c r="Q6" s="777"/>
      <c r="R6" s="62" t="s">
        <v>210</v>
      </c>
      <c r="S6" s="777"/>
      <c r="T6" s="777"/>
      <c r="U6" s="777"/>
      <c r="V6" s="777"/>
      <c r="W6" s="778"/>
    </row>
    <row r="7" spans="3:23">
      <c r="C7" s="785"/>
      <c r="D7" s="786"/>
      <c r="E7" s="54"/>
      <c r="F7" s="78"/>
      <c r="G7" s="81" t="str">
        <f t="shared" si="1"/>
        <v/>
      </c>
      <c r="H7" s="97" t="str">
        <f t="shared" si="0"/>
        <v/>
      </c>
      <c r="I7" s="83"/>
      <c r="J7" s="83"/>
      <c r="K7" s="83"/>
      <c r="L7" s="83"/>
      <c r="M7" s="83"/>
      <c r="N7" s="69"/>
      <c r="O7" s="61" t="s">
        <v>207</v>
      </c>
      <c r="P7" s="62" t="s">
        <v>211</v>
      </c>
      <c r="Q7" s="62" t="s">
        <v>207</v>
      </c>
      <c r="R7" s="62" t="s">
        <v>212</v>
      </c>
      <c r="S7" s="62" t="s">
        <v>207</v>
      </c>
      <c r="T7" s="62" t="s">
        <v>207</v>
      </c>
      <c r="U7" s="62" t="s">
        <v>207</v>
      </c>
      <c r="V7" s="62" t="s">
        <v>207</v>
      </c>
      <c r="W7" s="63" t="s">
        <v>207</v>
      </c>
    </row>
    <row r="8" spans="3:23">
      <c r="C8" s="785"/>
      <c r="D8" s="786"/>
      <c r="E8" s="54"/>
      <c r="F8" s="78"/>
      <c r="G8" s="81" t="str">
        <f t="shared" si="1"/>
        <v/>
      </c>
      <c r="H8" s="97" t="str">
        <f t="shared" si="0"/>
        <v/>
      </c>
      <c r="I8" s="83"/>
      <c r="J8" s="83"/>
      <c r="K8" s="83"/>
      <c r="L8" s="83"/>
      <c r="M8" s="83"/>
      <c r="N8" s="69"/>
      <c r="O8" s="61" t="s">
        <v>213</v>
      </c>
      <c r="P8" s="62" t="s">
        <v>214</v>
      </c>
      <c r="Q8" s="62" t="s">
        <v>214</v>
      </c>
      <c r="R8" s="62" t="s">
        <v>207</v>
      </c>
      <c r="S8" s="62" t="s">
        <v>215</v>
      </c>
      <c r="T8" s="62" t="s">
        <v>207</v>
      </c>
      <c r="U8" s="62" t="s">
        <v>215</v>
      </c>
      <c r="V8" s="62" t="s">
        <v>207</v>
      </c>
      <c r="W8" s="63" t="s">
        <v>216</v>
      </c>
    </row>
    <row r="9" spans="3:23">
      <c r="C9" s="785"/>
      <c r="D9" s="786"/>
      <c r="E9" s="54"/>
      <c r="F9" s="78"/>
      <c r="G9" s="81" t="str">
        <f t="shared" si="1"/>
        <v/>
      </c>
      <c r="H9" s="97" t="str">
        <f t="shared" si="0"/>
        <v/>
      </c>
      <c r="I9" s="83"/>
      <c r="J9" s="83"/>
      <c r="K9" s="83"/>
      <c r="L9" s="83"/>
      <c r="M9" s="83"/>
      <c r="N9" s="69"/>
      <c r="O9" s="61" t="s">
        <v>217</v>
      </c>
      <c r="P9" s="62" t="s">
        <v>218</v>
      </c>
      <c r="Q9" s="62" t="s">
        <v>207</v>
      </c>
      <c r="R9" s="62" t="s">
        <v>207</v>
      </c>
      <c r="S9" s="62" t="s">
        <v>219</v>
      </c>
      <c r="T9" s="62" t="s">
        <v>207</v>
      </c>
      <c r="U9" s="62" t="s">
        <v>218</v>
      </c>
      <c r="V9" s="62" t="s">
        <v>218</v>
      </c>
      <c r="W9" s="63" t="s">
        <v>218</v>
      </c>
    </row>
    <row r="10" spans="3:23">
      <c r="C10" s="785"/>
      <c r="D10" s="786"/>
      <c r="E10" s="54"/>
      <c r="F10" s="78"/>
      <c r="G10" s="81" t="str">
        <f t="shared" si="1"/>
        <v/>
      </c>
      <c r="H10" s="97" t="str">
        <f t="shared" si="0"/>
        <v/>
      </c>
      <c r="I10" s="83"/>
      <c r="J10" s="83"/>
      <c r="K10" s="83"/>
      <c r="L10" s="83"/>
      <c r="M10" s="83"/>
      <c r="N10" s="69"/>
      <c r="O10" s="61" t="s">
        <v>215</v>
      </c>
      <c r="P10" s="62" t="s">
        <v>207</v>
      </c>
      <c r="Q10" s="62" t="s">
        <v>207</v>
      </c>
      <c r="R10" s="62" t="s">
        <v>207</v>
      </c>
      <c r="S10" s="62" t="s">
        <v>215</v>
      </c>
      <c r="T10" s="62" t="s">
        <v>215</v>
      </c>
      <c r="U10" s="62" t="s">
        <v>215</v>
      </c>
      <c r="V10" s="62" t="s">
        <v>207</v>
      </c>
      <c r="W10" s="63" t="s">
        <v>215</v>
      </c>
    </row>
    <row r="11" spans="3:23">
      <c r="C11" s="785"/>
      <c r="D11" s="786"/>
      <c r="E11" s="54"/>
      <c r="F11" s="78"/>
      <c r="G11" s="81" t="str">
        <f t="shared" si="1"/>
        <v/>
      </c>
      <c r="H11" s="97" t="str">
        <f t="shared" si="0"/>
        <v/>
      </c>
      <c r="I11" s="83"/>
      <c r="J11" s="83"/>
      <c r="K11" s="83"/>
      <c r="L11" s="83"/>
      <c r="M11" s="83"/>
      <c r="N11" s="69"/>
      <c r="O11" s="61" t="s">
        <v>220</v>
      </c>
      <c r="P11" s="62" t="s">
        <v>218</v>
      </c>
      <c r="Q11" s="62" t="s">
        <v>207</v>
      </c>
      <c r="R11" s="62" t="s">
        <v>207</v>
      </c>
      <c r="S11" s="62" t="s">
        <v>221</v>
      </c>
      <c r="T11" s="62" t="s">
        <v>207</v>
      </c>
      <c r="U11" s="62" t="s">
        <v>218</v>
      </c>
      <c r="V11" s="62" t="s">
        <v>218</v>
      </c>
      <c r="W11" s="63" t="s">
        <v>222</v>
      </c>
    </row>
    <row r="12" spans="3:23">
      <c r="C12" s="785"/>
      <c r="D12" s="786"/>
      <c r="E12" s="54"/>
      <c r="F12" s="78"/>
      <c r="G12" s="81" t="str">
        <f t="shared" si="1"/>
        <v/>
      </c>
      <c r="H12" s="97" t="str">
        <f t="shared" si="0"/>
        <v/>
      </c>
      <c r="I12" s="83"/>
      <c r="J12" s="83"/>
      <c r="K12" s="83"/>
      <c r="L12" s="83"/>
      <c r="M12" s="83"/>
      <c r="N12" s="69"/>
      <c r="O12" s="61" t="s">
        <v>223</v>
      </c>
      <c r="P12" s="62" t="s">
        <v>207</v>
      </c>
      <c r="Q12" s="62" t="s">
        <v>207</v>
      </c>
      <c r="R12" s="62" t="s">
        <v>207</v>
      </c>
      <c r="S12" s="62" t="s">
        <v>224</v>
      </c>
      <c r="T12" s="62" t="s">
        <v>207</v>
      </c>
      <c r="U12" s="62" t="s">
        <v>207</v>
      </c>
      <c r="V12" s="62" t="s">
        <v>207</v>
      </c>
      <c r="W12" s="63" t="s">
        <v>207</v>
      </c>
    </row>
    <row r="13" spans="3:23">
      <c r="C13" s="785"/>
      <c r="D13" s="786"/>
      <c r="E13" s="54"/>
      <c r="F13" s="78"/>
      <c r="G13" s="81" t="str">
        <f t="shared" si="1"/>
        <v/>
      </c>
      <c r="H13" s="97" t="str">
        <f t="shared" si="0"/>
        <v/>
      </c>
      <c r="I13" s="83"/>
      <c r="J13" s="83"/>
      <c r="K13" s="83"/>
      <c r="L13" s="83"/>
      <c r="M13" s="83"/>
      <c r="N13" s="69"/>
      <c r="O13" s="61" t="s">
        <v>225</v>
      </c>
      <c r="P13" s="62" t="s">
        <v>226</v>
      </c>
      <c r="Q13" s="62" t="s">
        <v>207</v>
      </c>
      <c r="R13" s="62" t="s">
        <v>226</v>
      </c>
      <c r="S13" s="62" t="s">
        <v>227</v>
      </c>
      <c r="T13" s="62" t="s">
        <v>207</v>
      </c>
      <c r="U13" s="62" t="s">
        <v>207</v>
      </c>
      <c r="V13" s="62" t="s">
        <v>228</v>
      </c>
      <c r="W13" s="63" t="s">
        <v>229</v>
      </c>
    </row>
    <row r="14" spans="3:23">
      <c r="C14" s="785"/>
      <c r="D14" s="786"/>
      <c r="E14" s="54"/>
      <c r="F14" s="78"/>
      <c r="G14" s="81" t="str">
        <f t="shared" si="1"/>
        <v/>
      </c>
      <c r="H14" s="97" t="str">
        <f t="shared" si="0"/>
        <v/>
      </c>
      <c r="I14" s="83"/>
      <c r="J14" s="83"/>
      <c r="K14" s="83"/>
      <c r="L14" s="83"/>
      <c r="M14" s="83"/>
      <c r="N14" s="69"/>
      <c r="O14" s="61" t="s">
        <v>230</v>
      </c>
      <c r="P14" s="62" t="s">
        <v>194</v>
      </c>
      <c r="Q14" s="62" t="s">
        <v>231</v>
      </c>
      <c r="R14" s="62" t="s">
        <v>232</v>
      </c>
      <c r="S14" s="62" t="s">
        <v>233</v>
      </c>
      <c r="T14" s="62" t="s">
        <v>234</v>
      </c>
      <c r="U14" s="62" t="s">
        <v>235</v>
      </c>
      <c r="V14" s="62" t="s">
        <v>231</v>
      </c>
      <c r="W14" s="63" t="s">
        <v>236</v>
      </c>
    </row>
    <row r="15" spans="3:23">
      <c r="C15" s="785"/>
      <c r="D15" s="786"/>
      <c r="E15" s="54"/>
      <c r="F15" s="78"/>
      <c r="G15" s="81" t="str">
        <f t="shared" si="1"/>
        <v/>
      </c>
      <c r="H15" s="97" t="str">
        <f t="shared" si="0"/>
        <v/>
      </c>
      <c r="I15" s="83"/>
      <c r="J15" s="83"/>
      <c r="K15" s="83"/>
      <c r="L15" s="83"/>
      <c r="M15" s="83"/>
      <c r="N15" s="69"/>
      <c r="O15" s="61" t="s">
        <v>237</v>
      </c>
      <c r="P15" s="62" t="s">
        <v>207</v>
      </c>
      <c r="Q15" s="62" t="s">
        <v>207</v>
      </c>
      <c r="R15" s="62" t="s">
        <v>207</v>
      </c>
      <c r="S15" s="62" t="s">
        <v>238</v>
      </c>
      <c r="T15" s="62" t="s">
        <v>207</v>
      </c>
      <c r="U15" s="62" t="s">
        <v>207</v>
      </c>
      <c r="V15" s="62" t="s">
        <v>239</v>
      </c>
      <c r="W15" s="63" t="s">
        <v>240</v>
      </c>
    </row>
    <row r="16" spans="3:23">
      <c r="C16" s="785"/>
      <c r="D16" s="786"/>
      <c r="E16" s="54"/>
      <c r="F16" s="78"/>
      <c r="G16" s="81" t="str">
        <f t="shared" si="1"/>
        <v/>
      </c>
      <c r="H16" s="97" t="str">
        <f t="shared" si="0"/>
        <v/>
      </c>
      <c r="I16" s="83"/>
      <c r="J16" s="83"/>
      <c r="K16" s="83"/>
      <c r="L16" s="83"/>
      <c r="M16" s="83"/>
      <c r="N16" s="69"/>
      <c r="O16" s="61" t="s">
        <v>241</v>
      </c>
      <c r="P16" s="62" t="s">
        <v>207</v>
      </c>
      <c r="Q16" s="62" t="s">
        <v>207</v>
      </c>
      <c r="R16" s="62" t="s">
        <v>242</v>
      </c>
      <c r="S16" s="62" t="s">
        <v>243</v>
      </c>
      <c r="T16" s="62" t="s">
        <v>244</v>
      </c>
      <c r="U16" s="62" t="s">
        <v>207</v>
      </c>
      <c r="V16" s="62" t="s">
        <v>207</v>
      </c>
      <c r="W16" s="63" t="s">
        <v>245</v>
      </c>
    </row>
    <row r="17" spans="2:23" ht="17" thickBot="1">
      <c r="C17" s="785"/>
      <c r="D17" s="786"/>
      <c r="E17" s="54"/>
      <c r="F17" s="78"/>
      <c r="G17" s="82" t="str">
        <f t="shared" si="1"/>
        <v/>
      </c>
      <c r="H17" s="97" t="str">
        <f t="shared" si="0"/>
        <v/>
      </c>
      <c r="I17" s="83"/>
      <c r="J17" s="83"/>
      <c r="K17" s="83"/>
      <c r="L17" s="83"/>
      <c r="M17" s="83"/>
      <c r="N17" s="69"/>
      <c r="O17" s="61" t="s">
        <v>246</v>
      </c>
      <c r="P17" s="62" t="s">
        <v>247</v>
      </c>
      <c r="Q17" s="62" t="s">
        <v>207</v>
      </c>
      <c r="R17" s="62" t="s">
        <v>248</v>
      </c>
      <c r="S17" s="62" t="s">
        <v>249</v>
      </c>
      <c r="T17" s="62" t="s">
        <v>244</v>
      </c>
      <c r="U17" s="62" t="s">
        <v>250</v>
      </c>
      <c r="V17" s="62" t="s">
        <v>207</v>
      </c>
      <c r="W17" s="63" t="s">
        <v>251</v>
      </c>
    </row>
    <row r="18" spans="2:23">
      <c r="C18" s="792" t="s">
        <v>193</v>
      </c>
      <c r="D18" s="793"/>
      <c r="E18" s="793"/>
      <c r="F18" s="793"/>
      <c r="G18" s="793"/>
      <c r="H18" s="794"/>
      <c r="I18" s="87"/>
      <c r="J18" s="88" t="s">
        <v>304</v>
      </c>
      <c r="K18" s="88" t="s">
        <v>305</v>
      </c>
      <c r="L18" s="88" t="s">
        <v>306</v>
      </c>
      <c r="M18" s="89" t="s">
        <v>302</v>
      </c>
      <c r="N18" s="69"/>
      <c r="O18" s="61" t="s">
        <v>252</v>
      </c>
      <c r="P18" s="62" t="s">
        <v>253</v>
      </c>
      <c r="Q18" s="62" t="s">
        <v>207</v>
      </c>
      <c r="R18" s="62" t="s">
        <v>254</v>
      </c>
      <c r="S18" s="62" t="s">
        <v>255</v>
      </c>
      <c r="T18" s="62" t="s">
        <v>207</v>
      </c>
      <c r="U18" s="62" t="s">
        <v>256</v>
      </c>
      <c r="V18" s="62" t="s">
        <v>257</v>
      </c>
      <c r="W18" s="63" t="s">
        <v>258</v>
      </c>
    </row>
    <row r="19" spans="2:23">
      <c r="B19" s="55" t="str">
        <f>C19&amp;E19</f>
        <v/>
      </c>
      <c r="C19" s="787"/>
      <c r="D19" s="788"/>
      <c r="E19" s="70"/>
      <c r="F19" s="72"/>
      <c r="G19" s="80" t="str">
        <f>IF(C19="","","--&gt;")</f>
        <v/>
      </c>
      <c r="H19" s="98" t="str">
        <f t="shared" ref="H19:H27" si="2">IF(F19="","",(F19/$F$2)*$H$2)</f>
        <v/>
      </c>
      <c r="I19" s="90" t="str">
        <f>IF(COUNTIF(C19:C$19,C19)=1,C19,"")</f>
        <v/>
      </c>
      <c r="J19" s="91" t="str">
        <f t="shared" ref="J19:M34" si="3">IF(ISERROR(VLOOKUP(($I19&amp;J$18),$B$19:$H$40,7,0)),"",VLOOKUP(($I19&amp;J$18),$B$19:$H$40,7,0))</f>
        <v/>
      </c>
      <c r="K19" s="91" t="str">
        <f t="shared" si="3"/>
        <v/>
      </c>
      <c r="L19" s="91" t="str">
        <f t="shared" si="3"/>
        <v/>
      </c>
      <c r="M19" s="92" t="str">
        <f t="shared" si="3"/>
        <v/>
      </c>
      <c r="N19" s="69"/>
      <c r="O19" s="61" t="s">
        <v>259</v>
      </c>
      <c r="P19" s="62" t="s">
        <v>260</v>
      </c>
      <c r="Q19" s="62" t="s">
        <v>207</v>
      </c>
      <c r="R19" s="62" t="s">
        <v>261</v>
      </c>
      <c r="S19" s="62" t="s">
        <v>207</v>
      </c>
      <c r="T19" s="62" t="s">
        <v>262</v>
      </c>
      <c r="U19" s="62" t="s">
        <v>207</v>
      </c>
      <c r="V19" s="62" t="s">
        <v>263</v>
      </c>
      <c r="W19" s="63" t="s">
        <v>264</v>
      </c>
    </row>
    <row r="20" spans="2:23">
      <c r="B20" s="55" t="str">
        <f t="shared" ref="B20:B40" si="4">C20&amp;E20</f>
        <v/>
      </c>
      <c r="C20" s="787"/>
      <c r="D20" s="788"/>
      <c r="E20" s="70"/>
      <c r="F20" s="72"/>
      <c r="G20" s="81" t="str">
        <f t="shared" ref="G20:G40" si="5">IF(C20="","","--&gt;")</f>
        <v/>
      </c>
      <c r="H20" s="98" t="str">
        <f t="shared" si="2"/>
        <v/>
      </c>
      <c r="I20" s="90" t="str">
        <f>IF(COUNTIF(C$19:C20,C20)=1,C20,"")</f>
        <v/>
      </c>
      <c r="J20" s="91" t="str">
        <f t="shared" si="3"/>
        <v/>
      </c>
      <c r="K20" s="91" t="str">
        <f t="shared" si="3"/>
        <v/>
      </c>
      <c r="L20" s="91" t="str">
        <f t="shared" si="3"/>
        <v/>
      </c>
      <c r="M20" s="92" t="str">
        <f t="shared" si="3"/>
        <v/>
      </c>
      <c r="N20" s="69"/>
      <c r="O20" s="61" t="s">
        <v>265</v>
      </c>
      <c r="P20" s="62" t="s">
        <v>260</v>
      </c>
      <c r="Q20" s="62" t="s">
        <v>207</v>
      </c>
      <c r="R20" s="62" t="s">
        <v>207</v>
      </c>
      <c r="S20" s="62" t="s">
        <v>207</v>
      </c>
      <c r="T20" s="62" t="s">
        <v>207</v>
      </c>
      <c r="U20" s="62" t="s">
        <v>207</v>
      </c>
      <c r="V20" s="62" t="s">
        <v>207</v>
      </c>
      <c r="W20" s="63" t="s">
        <v>207</v>
      </c>
    </row>
    <row r="21" spans="2:23">
      <c r="B21" s="55" t="str">
        <f t="shared" si="4"/>
        <v/>
      </c>
      <c r="C21" s="787"/>
      <c r="D21" s="788"/>
      <c r="E21" s="70"/>
      <c r="F21" s="72"/>
      <c r="G21" s="81" t="str">
        <f t="shared" si="5"/>
        <v/>
      </c>
      <c r="H21" s="98" t="str">
        <f t="shared" si="2"/>
        <v/>
      </c>
      <c r="I21" s="90" t="str">
        <f>IF(COUNTIF(C$19:C21,C21)=1,C21,"")</f>
        <v/>
      </c>
      <c r="J21" s="91" t="str">
        <f>IF(ISERROR(VLOOKUP(($I21&amp;J$18),$B$19:$H$40,7,0)),"",VLOOKUP(($I21&amp;J$18),$B$19:$H$40,7,0))</f>
        <v/>
      </c>
      <c r="K21" s="91" t="str">
        <f t="shared" si="3"/>
        <v/>
      </c>
      <c r="L21" s="91" t="str">
        <f t="shared" si="3"/>
        <v/>
      </c>
      <c r="M21" s="92" t="str">
        <f t="shared" si="3"/>
        <v/>
      </c>
      <c r="N21" s="69"/>
      <c r="O21" s="61" t="s">
        <v>266</v>
      </c>
      <c r="P21" s="62" t="s">
        <v>207</v>
      </c>
      <c r="Q21" s="62" t="s">
        <v>260</v>
      </c>
      <c r="R21" s="62" t="s">
        <v>267</v>
      </c>
      <c r="S21" s="62" t="s">
        <v>268</v>
      </c>
      <c r="T21" s="62" t="s">
        <v>260</v>
      </c>
      <c r="U21" s="62" t="s">
        <v>207</v>
      </c>
      <c r="V21" s="62" t="s">
        <v>269</v>
      </c>
      <c r="W21" s="63" t="s">
        <v>270</v>
      </c>
    </row>
    <row r="22" spans="2:23">
      <c r="B22" s="55" t="str">
        <f t="shared" si="4"/>
        <v/>
      </c>
      <c r="C22" s="787"/>
      <c r="D22" s="788"/>
      <c r="E22" s="70"/>
      <c r="F22" s="72"/>
      <c r="G22" s="81" t="str">
        <f t="shared" si="5"/>
        <v/>
      </c>
      <c r="H22" s="98" t="str">
        <f t="shared" si="2"/>
        <v/>
      </c>
      <c r="I22" s="90" t="str">
        <f>IF(COUNTIF(C$19:C22,C22)=1,C22,"")</f>
        <v/>
      </c>
      <c r="J22" s="91" t="str">
        <f t="shared" si="3"/>
        <v/>
      </c>
      <c r="K22" s="91" t="str">
        <f t="shared" si="3"/>
        <v/>
      </c>
      <c r="L22" s="91" t="str">
        <f t="shared" si="3"/>
        <v/>
      </c>
      <c r="M22" s="92" t="str">
        <f t="shared" si="3"/>
        <v/>
      </c>
      <c r="N22" s="69"/>
      <c r="O22" s="61" t="s">
        <v>207</v>
      </c>
      <c r="P22" s="62" t="s">
        <v>207</v>
      </c>
      <c r="Q22" s="62" t="s">
        <v>207</v>
      </c>
      <c r="R22" s="62" t="s">
        <v>207</v>
      </c>
      <c r="S22" s="62" t="s">
        <v>271</v>
      </c>
      <c r="T22" s="62" t="s">
        <v>260</v>
      </c>
      <c r="U22" s="62" t="s">
        <v>207</v>
      </c>
      <c r="V22" s="62" t="s">
        <v>207</v>
      </c>
      <c r="W22" s="63"/>
    </row>
    <row r="23" spans="2:23">
      <c r="B23" s="55" t="str">
        <f t="shared" si="4"/>
        <v/>
      </c>
      <c r="C23" s="787"/>
      <c r="D23" s="788"/>
      <c r="E23" s="70"/>
      <c r="F23" s="72"/>
      <c r="G23" s="81" t="str">
        <f t="shared" si="5"/>
        <v/>
      </c>
      <c r="H23" s="98" t="str">
        <f t="shared" si="2"/>
        <v/>
      </c>
      <c r="I23" s="90" t="str">
        <f>IF(COUNTIF(C$19:C23,C23)=1,C23,"")</f>
        <v/>
      </c>
      <c r="J23" s="91" t="str">
        <f t="shared" si="3"/>
        <v/>
      </c>
      <c r="K23" s="91" t="str">
        <f t="shared" si="3"/>
        <v/>
      </c>
      <c r="L23" s="91" t="str">
        <f t="shared" si="3"/>
        <v/>
      </c>
      <c r="M23" s="92" t="str">
        <f t="shared" si="3"/>
        <v/>
      </c>
      <c r="N23" s="69"/>
      <c r="O23" s="61" t="s">
        <v>272</v>
      </c>
      <c r="P23" s="62" t="s">
        <v>207</v>
      </c>
      <c r="Q23" s="62" t="s">
        <v>207</v>
      </c>
      <c r="R23" s="62" t="s">
        <v>273</v>
      </c>
      <c r="S23" s="62" t="s">
        <v>207</v>
      </c>
      <c r="T23" s="62" t="s">
        <v>273</v>
      </c>
      <c r="U23" s="62" t="s">
        <v>207</v>
      </c>
      <c r="V23" s="62" t="s">
        <v>207</v>
      </c>
      <c r="W23" s="63" t="s">
        <v>229</v>
      </c>
    </row>
    <row r="24" spans="2:23">
      <c r="B24" s="55" t="str">
        <f t="shared" si="4"/>
        <v/>
      </c>
      <c r="C24" s="787"/>
      <c r="D24" s="788"/>
      <c r="E24" s="70"/>
      <c r="F24" s="72"/>
      <c r="G24" s="81" t="str">
        <f t="shared" si="5"/>
        <v/>
      </c>
      <c r="H24" s="98" t="str">
        <f t="shared" si="2"/>
        <v/>
      </c>
      <c r="I24" s="90" t="str">
        <f>IF(COUNTIF(C$19:C24,C24)=1,C24,"")</f>
        <v/>
      </c>
      <c r="J24" s="91" t="str">
        <f t="shared" si="3"/>
        <v/>
      </c>
      <c r="K24" s="91" t="str">
        <f t="shared" si="3"/>
        <v/>
      </c>
      <c r="L24" s="91" t="str">
        <f t="shared" si="3"/>
        <v/>
      </c>
      <c r="M24" s="92" t="str">
        <f t="shared" si="3"/>
        <v/>
      </c>
      <c r="N24" s="69"/>
      <c r="O24" s="61" t="s">
        <v>274</v>
      </c>
      <c r="P24" s="62" t="s">
        <v>207</v>
      </c>
      <c r="Q24" s="62" t="s">
        <v>207</v>
      </c>
      <c r="R24" s="62" t="s">
        <v>207</v>
      </c>
      <c r="S24" s="62" t="s">
        <v>207</v>
      </c>
      <c r="T24" s="62" t="s">
        <v>207</v>
      </c>
      <c r="U24" s="62" t="s">
        <v>207</v>
      </c>
      <c r="V24" s="62" t="s">
        <v>207</v>
      </c>
      <c r="W24" s="63" t="s">
        <v>275</v>
      </c>
    </row>
    <row r="25" spans="2:23">
      <c r="B25" s="55" t="str">
        <f t="shared" si="4"/>
        <v/>
      </c>
      <c r="C25" s="787"/>
      <c r="D25" s="788"/>
      <c r="E25" s="70"/>
      <c r="F25" s="72"/>
      <c r="G25" s="81" t="str">
        <f t="shared" si="5"/>
        <v/>
      </c>
      <c r="H25" s="98" t="str">
        <f t="shared" si="2"/>
        <v/>
      </c>
      <c r="I25" s="90" t="str">
        <f>IF(COUNTIF(C$19:C25,C25)=1,C25,"")</f>
        <v/>
      </c>
      <c r="J25" s="91" t="str">
        <f t="shared" si="3"/>
        <v/>
      </c>
      <c r="K25" s="91" t="str">
        <f t="shared" si="3"/>
        <v/>
      </c>
      <c r="L25" s="91" t="str">
        <f t="shared" si="3"/>
        <v/>
      </c>
      <c r="M25" s="92" t="str">
        <f t="shared" si="3"/>
        <v/>
      </c>
      <c r="N25" s="69"/>
      <c r="O25" s="61" t="s">
        <v>207</v>
      </c>
      <c r="P25" s="62" t="s">
        <v>207</v>
      </c>
      <c r="Q25" s="62" t="s">
        <v>207</v>
      </c>
      <c r="R25" s="62" t="s">
        <v>276</v>
      </c>
      <c r="S25" s="62" t="s">
        <v>277</v>
      </c>
      <c r="T25" s="62" t="s">
        <v>207</v>
      </c>
      <c r="U25" s="62" t="s">
        <v>207</v>
      </c>
      <c r="V25" s="62" t="s">
        <v>207</v>
      </c>
      <c r="W25" s="63" t="s">
        <v>207</v>
      </c>
    </row>
    <row r="26" spans="2:23">
      <c r="B26" s="55" t="str">
        <f t="shared" si="4"/>
        <v/>
      </c>
      <c r="C26" s="787"/>
      <c r="D26" s="788"/>
      <c r="E26" s="70"/>
      <c r="F26" s="72"/>
      <c r="G26" s="81" t="str">
        <f t="shared" si="5"/>
        <v/>
      </c>
      <c r="H26" s="98" t="str">
        <f t="shared" si="2"/>
        <v/>
      </c>
      <c r="I26" s="90" t="str">
        <f>IF(COUNTIF(C$19:C26,C26)=1,C26,"")</f>
        <v/>
      </c>
      <c r="J26" s="91" t="str">
        <f t="shared" si="3"/>
        <v/>
      </c>
      <c r="K26" s="91" t="str">
        <f t="shared" si="3"/>
        <v/>
      </c>
      <c r="L26" s="91" t="str">
        <f t="shared" si="3"/>
        <v/>
      </c>
      <c r="M26" s="92" t="str">
        <f t="shared" si="3"/>
        <v/>
      </c>
      <c r="N26" s="69"/>
      <c r="O26" s="61" t="s">
        <v>278</v>
      </c>
      <c r="P26" s="62" t="s">
        <v>278</v>
      </c>
      <c r="Q26" s="62" t="s">
        <v>278</v>
      </c>
      <c r="R26" s="62" t="s">
        <v>278</v>
      </c>
      <c r="S26" s="62" t="s">
        <v>279</v>
      </c>
      <c r="T26" s="62" t="s">
        <v>278</v>
      </c>
      <c r="U26" s="62" t="s">
        <v>207</v>
      </c>
      <c r="V26" s="62" t="s">
        <v>278</v>
      </c>
      <c r="W26" s="63" t="s">
        <v>278</v>
      </c>
    </row>
    <row r="27" spans="2:23">
      <c r="B27" s="55" t="str">
        <f t="shared" si="4"/>
        <v/>
      </c>
      <c r="C27" s="787"/>
      <c r="D27" s="788"/>
      <c r="E27" s="70"/>
      <c r="F27" s="72"/>
      <c r="G27" s="81" t="str">
        <f t="shared" si="5"/>
        <v/>
      </c>
      <c r="H27" s="98" t="str">
        <f t="shared" si="2"/>
        <v/>
      </c>
      <c r="I27" s="90" t="str">
        <f>IF(COUNTIF(C$19:C27,C27)=1,C27,"")</f>
        <v/>
      </c>
      <c r="J27" s="91" t="str">
        <f t="shared" si="3"/>
        <v/>
      </c>
      <c r="K27" s="91" t="str">
        <f t="shared" si="3"/>
        <v/>
      </c>
      <c r="L27" s="91" t="str">
        <f t="shared" si="3"/>
        <v/>
      </c>
      <c r="M27" s="92" t="str">
        <f t="shared" si="3"/>
        <v/>
      </c>
      <c r="N27" s="69"/>
      <c r="O27" s="61" t="s">
        <v>280</v>
      </c>
      <c r="P27" s="62" t="s">
        <v>281</v>
      </c>
      <c r="Q27" s="62" t="s">
        <v>280</v>
      </c>
      <c r="R27" s="62" t="s">
        <v>281</v>
      </c>
      <c r="S27" s="62" t="s">
        <v>282</v>
      </c>
      <c r="T27" s="62" t="s">
        <v>281</v>
      </c>
      <c r="U27" s="62" t="s">
        <v>283</v>
      </c>
      <c r="V27" s="62" t="s">
        <v>281</v>
      </c>
      <c r="W27" s="63" t="s">
        <v>284</v>
      </c>
    </row>
    <row r="28" spans="2:23">
      <c r="B28" s="55" t="str">
        <f t="shared" si="4"/>
        <v/>
      </c>
      <c r="C28" s="787"/>
      <c r="D28" s="788"/>
      <c r="E28" s="70"/>
      <c r="F28" s="72"/>
      <c r="G28" s="81" t="str">
        <f t="shared" si="5"/>
        <v/>
      </c>
      <c r="H28" s="98" t="str">
        <f t="shared" ref="H28:H37" si="6">IF(F28="","",(F28/$F$2)*$H$2)</f>
        <v/>
      </c>
      <c r="I28" s="90" t="str">
        <f>IF(COUNTIF(C$19:C28,C28)=1,C28,"")</f>
        <v/>
      </c>
      <c r="J28" s="91" t="str">
        <f t="shared" si="3"/>
        <v/>
      </c>
      <c r="K28" s="91" t="str">
        <f t="shared" si="3"/>
        <v/>
      </c>
      <c r="L28" s="91" t="str">
        <f t="shared" si="3"/>
        <v/>
      </c>
      <c r="M28" s="92" t="str">
        <f t="shared" si="3"/>
        <v/>
      </c>
      <c r="N28" s="69"/>
      <c r="O28" s="61" t="s">
        <v>285</v>
      </c>
      <c r="P28" s="62" t="s">
        <v>285</v>
      </c>
      <c r="Q28" s="62" t="s">
        <v>285</v>
      </c>
      <c r="R28" s="62" t="s">
        <v>285</v>
      </c>
      <c r="S28" s="62" t="s">
        <v>285</v>
      </c>
      <c r="T28" s="62" t="s">
        <v>285</v>
      </c>
      <c r="U28" s="62" t="s">
        <v>207</v>
      </c>
      <c r="V28" s="62" t="s">
        <v>286</v>
      </c>
      <c r="W28" s="63"/>
    </row>
    <row r="29" spans="2:23">
      <c r="B29" s="55" t="str">
        <f t="shared" si="4"/>
        <v/>
      </c>
      <c r="C29" s="787"/>
      <c r="D29" s="788"/>
      <c r="E29" s="70"/>
      <c r="F29" s="72"/>
      <c r="G29" s="81" t="str">
        <f t="shared" si="5"/>
        <v/>
      </c>
      <c r="H29" s="98" t="str">
        <f t="shared" si="6"/>
        <v/>
      </c>
      <c r="I29" s="90" t="str">
        <f>IF(COUNTIF(C$19:C29,C29)=1,C29,"")</f>
        <v/>
      </c>
      <c r="J29" s="91" t="str">
        <f t="shared" si="3"/>
        <v/>
      </c>
      <c r="K29" s="91" t="str">
        <f t="shared" si="3"/>
        <v/>
      </c>
      <c r="L29" s="91" t="str">
        <f t="shared" si="3"/>
        <v/>
      </c>
      <c r="M29" s="92" t="str">
        <f t="shared" si="3"/>
        <v/>
      </c>
      <c r="N29" s="69"/>
      <c r="O29" s="61" t="s">
        <v>207</v>
      </c>
      <c r="P29" s="62" t="s">
        <v>207</v>
      </c>
      <c r="Q29" s="62" t="s">
        <v>207</v>
      </c>
      <c r="R29" s="62" t="s">
        <v>287</v>
      </c>
      <c r="S29" s="62" t="s">
        <v>288</v>
      </c>
      <c r="T29" s="62" t="s">
        <v>207</v>
      </c>
      <c r="U29" s="62" t="s">
        <v>207</v>
      </c>
      <c r="V29" s="62" t="s">
        <v>287</v>
      </c>
      <c r="W29" s="63" t="s">
        <v>287</v>
      </c>
    </row>
    <row r="30" spans="2:23">
      <c r="B30" s="55" t="str">
        <f t="shared" si="4"/>
        <v/>
      </c>
      <c r="C30" s="787"/>
      <c r="D30" s="788"/>
      <c r="E30" s="70"/>
      <c r="F30" s="72"/>
      <c r="G30" s="81" t="str">
        <f t="shared" si="5"/>
        <v/>
      </c>
      <c r="H30" s="98" t="str">
        <f t="shared" si="6"/>
        <v/>
      </c>
      <c r="I30" s="90" t="str">
        <f>IF(COUNTIF(C$19:C30,C30)=1,C30,"")</f>
        <v/>
      </c>
      <c r="J30" s="91" t="str">
        <f t="shared" si="3"/>
        <v/>
      </c>
      <c r="K30" s="91" t="str">
        <f t="shared" si="3"/>
        <v/>
      </c>
      <c r="L30" s="91" t="str">
        <f t="shared" si="3"/>
        <v/>
      </c>
      <c r="M30" s="92" t="str">
        <f t="shared" si="3"/>
        <v/>
      </c>
      <c r="N30" s="69"/>
      <c r="O30" s="61" t="s">
        <v>51</v>
      </c>
      <c r="P30" s="62" t="s">
        <v>207</v>
      </c>
      <c r="Q30" s="62" t="s">
        <v>207</v>
      </c>
      <c r="R30" s="62" t="s">
        <v>51</v>
      </c>
      <c r="S30" s="62" t="s">
        <v>51</v>
      </c>
      <c r="T30" s="62"/>
      <c r="U30" s="62" t="s">
        <v>51</v>
      </c>
      <c r="V30" s="62" t="s">
        <v>51</v>
      </c>
      <c r="W30" s="63" t="s">
        <v>51</v>
      </c>
    </row>
    <row r="31" spans="2:23">
      <c r="B31" s="55" t="str">
        <f t="shared" si="4"/>
        <v/>
      </c>
      <c r="C31" s="787"/>
      <c r="D31" s="788"/>
      <c r="E31" s="70"/>
      <c r="F31" s="72"/>
      <c r="G31" s="81" t="str">
        <f t="shared" si="5"/>
        <v/>
      </c>
      <c r="H31" s="98" t="str">
        <f t="shared" si="6"/>
        <v/>
      </c>
      <c r="I31" s="90" t="str">
        <f>IF(COUNTIF(C$19:C31,C31)=1,C31,"")</f>
        <v/>
      </c>
      <c r="J31" s="91" t="str">
        <f t="shared" si="3"/>
        <v/>
      </c>
      <c r="K31" s="91" t="str">
        <f t="shared" si="3"/>
        <v/>
      </c>
      <c r="L31" s="91" t="str">
        <f t="shared" si="3"/>
        <v/>
      </c>
      <c r="M31" s="92" t="str">
        <f t="shared" si="3"/>
        <v/>
      </c>
      <c r="N31" s="69"/>
      <c r="O31" s="61" t="s">
        <v>207</v>
      </c>
      <c r="P31" s="62" t="s">
        <v>207</v>
      </c>
      <c r="Q31" s="62" t="s">
        <v>207</v>
      </c>
      <c r="R31" s="62" t="s">
        <v>207</v>
      </c>
      <c r="S31" s="62" t="s">
        <v>289</v>
      </c>
      <c r="T31" s="62" t="s">
        <v>207</v>
      </c>
      <c r="U31" s="62" t="s">
        <v>207</v>
      </c>
      <c r="V31" s="62" t="s">
        <v>207</v>
      </c>
      <c r="W31" s="63" t="s">
        <v>289</v>
      </c>
    </row>
    <row r="32" spans="2:23">
      <c r="B32" s="55" t="str">
        <f t="shared" si="4"/>
        <v/>
      </c>
      <c r="C32" s="787"/>
      <c r="D32" s="788"/>
      <c r="E32" s="70"/>
      <c r="F32" s="72"/>
      <c r="G32" s="81" t="str">
        <f t="shared" si="5"/>
        <v/>
      </c>
      <c r="H32" s="98" t="str">
        <f t="shared" si="6"/>
        <v/>
      </c>
      <c r="I32" s="90" t="str">
        <f>IF(COUNTIF(C$19:C32,C32)=1,C32,"")</f>
        <v/>
      </c>
      <c r="J32" s="91" t="str">
        <f t="shared" si="3"/>
        <v/>
      </c>
      <c r="K32" s="91" t="str">
        <f t="shared" si="3"/>
        <v/>
      </c>
      <c r="L32" s="91" t="str">
        <f t="shared" si="3"/>
        <v/>
      </c>
      <c r="M32" s="92" t="str">
        <f t="shared" si="3"/>
        <v/>
      </c>
      <c r="N32" s="69"/>
      <c r="O32" s="61" t="s">
        <v>207</v>
      </c>
      <c r="P32" s="62" t="s">
        <v>207</v>
      </c>
      <c r="Q32" s="62" t="s">
        <v>207</v>
      </c>
      <c r="R32" s="62" t="s">
        <v>290</v>
      </c>
      <c r="S32" s="62" t="s">
        <v>291</v>
      </c>
      <c r="T32" s="62" t="s">
        <v>207</v>
      </c>
      <c r="U32" s="62" t="s">
        <v>207</v>
      </c>
      <c r="V32" s="62" t="s">
        <v>207</v>
      </c>
      <c r="W32" s="63" t="s">
        <v>292</v>
      </c>
    </row>
    <row r="33" spans="2:23">
      <c r="B33" s="55" t="str">
        <f t="shared" si="4"/>
        <v/>
      </c>
      <c r="C33" s="785"/>
      <c r="D33" s="786"/>
      <c r="E33" s="54"/>
      <c r="F33" s="72"/>
      <c r="G33" s="81" t="str">
        <f t="shared" si="5"/>
        <v/>
      </c>
      <c r="H33" s="98" t="str">
        <f t="shared" si="6"/>
        <v/>
      </c>
      <c r="I33" s="90" t="str">
        <f>IF(COUNTIF(C$19:C33,C33)=1,C33,"")</f>
        <v/>
      </c>
      <c r="J33" s="91" t="str">
        <f t="shared" si="3"/>
        <v/>
      </c>
      <c r="K33" s="91" t="str">
        <f t="shared" si="3"/>
        <v/>
      </c>
      <c r="L33" s="91" t="str">
        <f t="shared" si="3"/>
        <v/>
      </c>
      <c r="M33" s="92" t="str">
        <f t="shared" si="3"/>
        <v/>
      </c>
      <c r="N33" s="69"/>
      <c r="O33" s="61" t="s">
        <v>207</v>
      </c>
      <c r="P33" s="62" t="s">
        <v>207</v>
      </c>
      <c r="Q33" s="62" t="s">
        <v>207</v>
      </c>
      <c r="R33" s="62" t="s">
        <v>207</v>
      </c>
      <c r="S33" s="62" t="s">
        <v>293</v>
      </c>
      <c r="T33" s="62" t="s">
        <v>207</v>
      </c>
      <c r="U33" s="62" t="s">
        <v>207</v>
      </c>
      <c r="V33" s="62" t="s">
        <v>207</v>
      </c>
      <c r="W33" s="63" t="s">
        <v>293</v>
      </c>
    </row>
    <row r="34" spans="2:23">
      <c r="B34" s="55" t="str">
        <f t="shared" si="4"/>
        <v/>
      </c>
      <c r="C34" s="785"/>
      <c r="D34" s="786"/>
      <c r="E34" s="54"/>
      <c r="F34" s="72"/>
      <c r="G34" s="81" t="str">
        <f t="shared" si="5"/>
        <v/>
      </c>
      <c r="H34" s="98" t="str">
        <f t="shared" si="6"/>
        <v/>
      </c>
      <c r="I34" s="90" t="str">
        <f>IF(COUNTIF(C$19:C34,C34)=1,C34,"")</f>
        <v/>
      </c>
      <c r="J34" s="91" t="str">
        <f t="shared" si="3"/>
        <v/>
      </c>
      <c r="K34" s="91" t="str">
        <f t="shared" si="3"/>
        <v/>
      </c>
      <c r="L34" s="91" t="str">
        <f t="shared" si="3"/>
        <v/>
      </c>
      <c r="M34" s="92" t="str">
        <f t="shared" si="3"/>
        <v/>
      </c>
      <c r="N34" s="69"/>
      <c r="O34" s="61" t="s">
        <v>294</v>
      </c>
      <c r="P34" s="62" t="s">
        <v>207</v>
      </c>
      <c r="Q34" s="62" t="s">
        <v>207</v>
      </c>
      <c r="R34" s="62" t="s">
        <v>294</v>
      </c>
      <c r="S34" s="62" t="s">
        <v>294</v>
      </c>
      <c r="T34" s="62" t="s">
        <v>207</v>
      </c>
      <c r="U34" s="62" t="s">
        <v>207</v>
      </c>
      <c r="V34" s="62" t="s">
        <v>207</v>
      </c>
      <c r="W34" s="63" t="s">
        <v>207</v>
      </c>
    </row>
    <row r="35" spans="2:23">
      <c r="B35" s="55" t="str">
        <f t="shared" si="4"/>
        <v/>
      </c>
      <c r="C35" s="785"/>
      <c r="D35" s="786"/>
      <c r="E35" s="54"/>
      <c r="F35" s="72"/>
      <c r="G35" s="81" t="str">
        <f t="shared" si="5"/>
        <v/>
      </c>
      <c r="H35" s="98" t="str">
        <f t="shared" si="6"/>
        <v/>
      </c>
      <c r="I35" s="90" t="str">
        <f>IF(COUNTIF(C$19:C35,C35)=1,C35,"")</f>
        <v/>
      </c>
      <c r="J35" s="91" t="str">
        <f t="shared" ref="J35:M40" si="7">IF(ISERROR(VLOOKUP(($I35&amp;J$18),$B$19:$H$40,7,0)),"",VLOOKUP(($I35&amp;J$18),$B$19:$H$40,7,0))</f>
        <v/>
      </c>
      <c r="K35" s="91" t="str">
        <f t="shared" si="7"/>
        <v/>
      </c>
      <c r="L35" s="91" t="str">
        <f t="shared" si="7"/>
        <v/>
      </c>
      <c r="M35" s="92" t="str">
        <f t="shared" si="7"/>
        <v/>
      </c>
      <c r="N35" s="69"/>
      <c r="O35" s="61" t="s">
        <v>207</v>
      </c>
      <c r="P35" s="62" t="s">
        <v>207</v>
      </c>
      <c r="Q35" s="62" t="s">
        <v>207</v>
      </c>
      <c r="R35" s="62" t="s">
        <v>207</v>
      </c>
      <c r="S35" s="62" t="s">
        <v>295</v>
      </c>
      <c r="T35" s="62" t="s">
        <v>207</v>
      </c>
      <c r="U35" s="62" t="s">
        <v>207</v>
      </c>
      <c r="V35" s="62" t="s">
        <v>207</v>
      </c>
      <c r="W35" s="63" t="s">
        <v>207</v>
      </c>
    </row>
    <row r="36" spans="2:23">
      <c r="B36" s="55" t="str">
        <f t="shared" si="4"/>
        <v/>
      </c>
      <c r="C36" s="785"/>
      <c r="D36" s="786"/>
      <c r="E36" s="54"/>
      <c r="F36" s="72"/>
      <c r="G36" s="81" t="str">
        <f t="shared" si="5"/>
        <v/>
      </c>
      <c r="H36" s="98" t="str">
        <f t="shared" si="6"/>
        <v/>
      </c>
      <c r="I36" s="90" t="str">
        <f>IF(COUNTIF(C$19:C36,C36)=1,C36,"")</f>
        <v/>
      </c>
      <c r="J36" s="91" t="str">
        <f t="shared" si="7"/>
        <v/>
      </c>
      <c r="K36" s="91" t="str">
        <f t="shared" si="7"/>
        <v/>
      </c>
      <c r="L36" s="91" t="str">
        <f t="shared" si="7"/>
        <v/>
      </c>
      <c r="M36" s="92" t="str">
        <f t="shared" si="7"/>
        <v/>
      </c>
      <c r="N36" s="69"/>
      <c r="O36" s="61" t="s">
        <v>207</v>
      </c>
      <c r="P36" s="62" t="s">
        <v>207</v>
      </c>
      <c r="Q36" s="62" t="s">
        <v>207</v>
      </c>
      <c r="R36" s="62" t="s">
        <v>296</v>
      </c>
      <c r="S36" s="62" t="s">
        <v>207</v>
      </c>
      <c r="T36" s="62" t="s">
        <v>207</v>
      </c>
      <c r="U36" s="62" t="s">
        <v>207</v>
      </c>
      <c r="V36" s="62" t="s">
        <v>207</v>
      </c>
      <c r="W36" s="63" t="s">
        <v>207</v>
      </c>
    </row>
    <row r="37" spans="2:23">
      <c r="B37" s="55" t="str">
        <f t="shared" si="4"/>
        <v/>
      </c>
      <c r="C37" s="785"/>
      <c r="D37" s="786"/>
      <c r="E37" s="54"/>
      <c r="F37" s="72"/>
      <c r="G37" s="81" t="str">
        <f t="shared" si="5"/>
        <v/>
      </c>
      <c r="H37" s="98" t="str">
        <f t="shared" si="6"/>
        <v/>
      </c>
      <c r="I37" s="90" t="str">
        <f>IF(COUNTIF(C$19:C37,C37)=1,C37,"")</f>
        <v/>
      </c>
      <c r="J37" s="91" t="str">
        <f t="shared" si="7"/>
        <v/>
      </c>
      <c r="K37" s="91" t="str">
        <f t="shared" si="7"/>
        <v/>
      </c>
      <c r="L37" s="91" t="str">
        <f t="shared" si="7"/>
        <v/>
      </c>
      <c r="M37" s="92" t="str">
        <f t="shared" si="7"/>
        <v/>
      </c>
      <c r="N37" s="69"/>
      <c r="O37" s="61" t="s">
        <v>207</v>
      </c>
      <c r="P37" s="62" t="s">
        <v>207</v>
      </c>
      <c r="Q37" s="62" t="s">
        <v>207</v>
      </c>
      <c r="R37" s="62" t="s">
        <v>207</v>
      </c>
      <c r="S37" s="62" t="s">
        <v>297</v>
      </c>
      <c r="T37" s="62" t="s">
        <v>207</v>
      </c>
      <c r="U37" s="62" t="s">
        <v>298</v>
      </c>
      <c r="V37" s="62" t="s">
        <v>207</v>
      </c>
      <c r="W37" s="63" t="s">
        <v>207</v>
      </c>
    </row>
    <row r="38" spans="2:23" ht="17" thickBot="1">
      <c r="B38" s="55" t="str">
        <f t="shared" si="4"/>
        <v/>
      </c>
      <c r="C38" s="785"/>
      <c r="D38" s="786"/>
      <c r="E38" s="54"/>
      <c r="F38" s="72"/>
      <c r="G38" s="81" t="str">
        <f t="shared" si="5"/>
        <v/>
      </c>
      <c r="H38" s="98" t="str">
        <f>IF(F38="","",(F38/$F$2)*$H$2)</f>
        <v/>
      </c>
      <c r="I38" s="90" t="str">
        <f>IF(COUNTIF(C$19:C38,C38)=1,C38,"")</f>
        <v/>
      </c>
      <c r="J38" s="91" t="str">
        <f t="shared" si="7"/>
        <v/>
      </c>
      <c r="K38" s="91" t="str">
        <f t="shared" si="7"/>
        <v/>
      </c>
      <c r="L38" s="91" t="str">
        <f t="shared" si="7"/>
        <v/>
      </c>
      <c r="M38" s="92" t="str">
        <f t="shared" si="7"/>
        <v/>
      </c>
      <c r="N38" s="69"/>
      <c r="O38" s="64" t="s">
        <v>207</v>
      </c>
      <c r="P38" s="65" t="s">
        <v>207</v>
      </c>
      <c r="Q38" s="65" t="s">
        <v>207</v>
      </c>
      <c r="R38" s="65" t="s">
        <v>299</v>
      </c>
      <c r="S38" s="65" t="s">
        <v>300</v>
      </c>
      <c r="T38" s="65" t="s">
        <v>207</v>
      </c>
      <c r="U38" s="65" t="s">
        <v>207</v>
      </c>
      <c r="V38" s="65" t="s">
        <v>207</v>
      </c>
      <c r="W38" s="66" t="s">
        <v>207</v>
      </c>
    </row>
    <row r="39" spans="2:23">
      <c r="B39" s="55" t="str">
        <f t="shared" si="4"/>
        <v/>
      </c>
      <c r="C39" s="785"/>
      <c r="D39" s="786"/>
      <c r="E39" s="54"/>
      <c r="F39" s="72"/>
      <c r="G39" s="81" t="str">
        <f t="shared" si="5"/>
        <v/>
      </c>
      <c r="H39" s="98" t="str">
        <f>IF(F39="","",(F39/$F$2)*$H$2)</f>
        <v/>
      </c>
      <c r="I39" s="90" t="str">
        <f>IF(COUNTIF(C$19:C39,C39)=1,C39,"")</f>
        <v/>
      </c>
      <c r="J39" s="91" t="str">
        <f t="shared" si="7"/>
        <v/>
      </c>
      <c r="K39" s="91" t="str">
        <f t="shared" si="7"/>
        <v/>
      </c>
      <c r="L39" s="91" t="str">
        <f t="shared" si="7"/>
        <v/>
      </c>
      <c r="M39" s="92" t="str">
        <f t="shared" si="7"/>
        <v/>
      </c>
      <c r="N39" s="69"/>
    </row>
    <row r="40" spans="2:23" ht="17" thickBot="1">
      <c r="B40" s="55" t="str">
        <f t="shared" si="4"/>
        <v/>
      </c>
      <c r="C40" s="783"/>
      <c r="D40" s="784"/>
      <c r="E40" s="96"/>
      <c r="F40" s="79"/>
      <c r="G40" s="81" t="str">
        <f t="shared" si="5"/>
        <v/>
      </c>
      <c r="H40" s="99" t="str">
        <f>IF(F40="","",(F40/$F$2)*$H$2)</f>
        <v/>
      </c>
      <c r="I40" s="93" t="str">
        <f>IF(COUNTIF(C$19:C40,C40)=1,C40,"")</f>
        <v/>
      </c>
      <c r="J40" s="94" t="str">
        <f t="shared" si="7"/>
        <v/>
      </c>
      <c r="K40" s="94" t="str">
        <f>IF(ISERROR(VLOOKUP(($I40&amp;K$18),$B$19:$H$40,7,0)),"",VLOOKUP(($I40&amp;K$18),$B$19:$H$40,7,0))</f>
        <v/>
      </c>
      <c r="L40" s="94" t="str">
        <f>IF(ISERROR(VLOOKUP(($I40&amp;L$18),$B$19:$H$40,7,0)),"",VLOOKUP(($I40&amp;L$18),$B$19:$H$40,7,0))</f>
        <v/>
      </c>
      <c r="M40" s="95" t="str">
        <f>IF(ISERROR(VLOOKUP(($I40&amp;M$18),$B$19:$H$40,7,0)),"",VLOOKUP(($I40&amp;M$18),$B$19:$H$40,7,0))</f>
        <v/>
      </c>
      <c r="N40" s="69"/>
    </row>
    <row r="41" spans="2:23" ht="17" thickBot="1">
      <c r="C41" s="55"/>
      <c r="D41" s="55"/>
      <c r="E41" s="55"/>
      <c r="F41" s="6"/>
      <c r="G41" s="84" t="s">
        <v>301</v>
      </c>
      <c r="H41" s="85">
        <f>SUM(H19:H40)</f>
        <v>0</v>
      </c>
      <c r="I41" s="86" t="str">
        <f>IF(H41=J41,"OK","ATTENTION")</f>
        <v>OK</v>
      </c>
      <c r="J41" s="780">
        <f>SUM(J19:M40)</f>
        <v>0</v>
      </c>
      <c r="K41" s="781"/>
      <c r="L41" s="781"/>
      <c r="M41" s="782"/>
      <c r="N41" s="69"/>
    </row>
    <row r="42" spans="2:23">
      <c r="C42" s="55"/>
      <c r="D42" s="55"/>
      <c r="E42" s="55"/>
      <c r="F42" s="6"/>
      <c r="G42" s="6"/>
      <c r="H42" s="6" t="str">
        <f>IF(F42="","",(F42/$F$2)*H41)</f>
        <v/>
      </c>
      <c r="I42" s="6"/>
      <c r="J42" s="6"/>
      <c r="K42" s="6"/>
      <c r="L42" s="6"/>
      <c r="M42" s="6"/>
      <c r="N42" s="55"/>
    </row>
    <row r="43" spans="2:23">
      <c r="C43" s="55"/>
      <c r="D43" s="55"/>
      <c r="E43" s="55"/>
      <c r="F43" s="6"/>
      <c r="G43" s="6"/>
      <c r="H43" s="6" t="str">
        <f>IF(F43="","",(F43/$F$2)*H42)</f>
        <v/>
      </c>
      <c r="I43" s="6"/>
      <c r="J43" s="6"/>
      <c r="K43" s="6"/>
      <c r="L43" s="6"/>
      <c r="M43" s="6"/>
      <c r="N43" s="55"/>
    </row>
    <row r="44" spans="2:23" ht="16" hidden="1" customHeight="1">
      <c r="D44" s="1"/>
      <c r="H44" s="51" t="str">
        <f>IF(F44="","",(F44/$F$2)*H43)</f>
        <v/>
      </c>
    </row>
    <row r="45" spans="2:23" ht="16" hidden="1" customHeight="1">
      <c r="D45" s="1"/>
      <c r="H45" s="51" t="str">
        <f>IF(F45="","",(F45/$F$2)*H44)</f>
        <v/>
      </c>
    </row>
    <row r="46" spans="2:23" ht="16" hidden="1" customHeight="1">
      <c r="D46" s="56"/>
      <c r="E46" s="56"/>
    </row>
    <row r="47" spans="2:23" ht="16" hidden="1" customHeight="1">
      <c r="D47" s="56"/>
      <c r="E47" s="56"/>
    </row>
    <row r="48" spans="2:23" ht="16" hidden="1" customHeight="1">
      <c r="D48" s="56"/>
      <c r="E48" s="56"/>
    </row>
    <row r="49" spans="4:5" ht="16" hidden="1" customHeight="1">
      <c r="D49" s="56"/>
      <c r="E49" s="56"/>
    </row>
    <row r="50" spans="4:5" ht="16" hidden="1" customHeight="1">
      <c r="D50" s="56"/>
      <c r="E50" s="56"/>
    </row>
    <row r="51" spans="4:5" ht="16" hidden="1" customHeight="1">
      <c r="D51" s="56"/>
      <c r="E51" s="56"/>
    </row>
    <row r="52" spans="4:5" ht="16" hidden="1" customHeight="1">
      <c r="D52" s="56"/>
      <c r="E52" s="56"/>
    </row>
    <row r="53" spans="4:5" ht="16" hidden="1" customHeight="1">
      <c r="D53" s="56"/>
      <c r="E53" s="56"/>
    </row>
    <row r="54" spans="4:5" ht="16" hidden="1" customHeight="1">
      <c r="D54" s="56"/>
      <c r="E54" s="56"/>
    </row>
    <row r="55" spans="4:5" ht="16" hidden="1" customHeight="1">
      <c r="D55" s="56"/>
      <c r="E55" s="56"/>
    </row>
    <row r="56" spans="4:5" ht="16" hidden="1" customHeight="1">
      <c r="D56" s="56"/>
      <c r="E56" s="56"/>
    </row>
    <row r="57" spans="4:5" ht="16" hidden="1" customHeight="1">
      <c r="D57" s="56"/>
      <c r="E57" s="56"/>
    </row>
    <row r="58" spans="4:5" ht="16" hidden="1" customHeight="1">
      <c r="D58" s="56"/>
      <c r="E58" s="56"/>
    </row>
    <row r="59" spans="4:5" ht="16" hidden="1" customHeight="1">
      <c r="D59" s="56"/>
      <c r="E59" s="56"/>
    </row>
    <row r="60" spans="4:5" ht="16" hidden="1" customHeight="1">
      <c r="D60" s="56"/>
      <c r="E60" s="56"/>
    </row>
    <row r="61" spans="4:5" ht="16" hidden="1" customHeight="1">
      <c r="D61" s="56"/>
      <c r="E61" s="56"/>
    </row>
    <row r="62" spans="4:5" ht="16" hidden="1" customHeight="1">
      <c r="D62" s="56"/>
      <c r="E62" s="56"/>
    </row>
    <row r="63" spans="4:5" ht="16" hidden="1" customHeight="1">
      <c r="D63" s="56"/>
      <c r="E63" s="56"/>
    </row>
  </sheetData>
  <sheetProtection sheet="1" objects="1" scenarios="1"/>
  <mergeCells count="47">
    <mergeCell ref="C32:D32"/>
    <mergeCell ref="C33:D33"/>
    <mergeCell ref="C31:D31"/>
    <mergeCell ref="C25:D25"/>
    <mergeCell ref="C19:D19"/>
    <mergeCell ref="C4:D4"/>
    <mergeCell ref="C5:D5"/>
    <mergeCell ref="C6:D6"/>
    <mergeCell ref="C7:D7"/>
    <mergeCell ref="C29:D29"/>
    <mergeCell ref="C3:H3"/>
    <mergeCell ref="C18:H18"/>
    <mergeCell ref="C34:D34"/>
    <mergeCell ref="C35:D35"/>
    <mergeCell ref="C36:D36"/>
    <mergeCell ref="C22:D22"/>
    <mergeCell ref="C23:D23"/>
    <mergeCell ref="C24:D24"/>
    <mergeCell ref="C26:D26"/>
    <mergeCell ref="C27:D27"/>
    <mergeCell ref="C28:D28"/>
    <mergeCell ref="C14:D14"/>
    <mergeCell ref="C15:D15"/>
    <mergeCell ref="C16:D16"/>
    <mergeCell ref="C17:D17"/>
    <mergeCell ref="C20:D20"/>
    <mergeCell ref="O5:O6"/>
    <mergeCell ref="P5:P6"/>
    <mergeCell ref="Q5:Q6"/>
    <mergeCell ref="J41:M41"/>
    <mergeCell ref="C40:D40"/>
    <mergeCell ref="C37:D37"/>
    <mergeCell ref="C38:D38"/>
    <mergeCell ref="C39:D39"/>
    <mergeCell ref="C21:D21"/>
    <mergeCell ref="C8:D8"/>
    <mergeCell ref="C9:D9"/>
    <mergeCell ref="C10:D10"/>
    <mergeCell ref="C11:D11"/>
    <mergeCell ref="C12:D12"/>
    <mergeCell ref="C13:D13"/>
    <mergeCell ref="C30:D30"/>
    <mergeCell ref="S5:S6"/>
    <mergeCell ref="T5:T6"/>
    <mergeCell ref="U5:U6"/>
    <mergeCell ref="V5:V6"/>
    <mergeCell ref="W5:W6"/>
  </mergeCells>
  <conditionalFormatting sqref="I41">
    <cfRule type="cellIs" dxfId="79" priority="1" operator="equal">
      <formula>"ATTENTION"</formula>
    </cfRule>
  </conditionalFormatting>
  <dataValidations count="1">
    <dataValidation type="list" allowBlank="1" showInputMessage="1" showErrorMessage="1" sqref="E19:E40" xr:uid="{9807A0D2-00B3-FB46-A290-B9A6D2D3C753}">
      <formula1>"Start,Mid,End,Dry"</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1A9BD-C961-C940-9F1A-9971895037F9}">
  <sheetPr codeName="Feuil3"/>
  <dimension ref="A1:L162"/>
  <sheetViews>
    <sheetView workbookViewId="0">
      <selection activeCell="A25" sqref="A25"/>
    </sheetView>
  </sheetViews>
  <sheetFormatPr baseColWidth="10" defaultRowHeight="16" customHeight="1"/>
  <cols>
    <col min="1" max="1" width="40.6640625" style="26" bestFit="1" customWidth="1"/>
    <col min="2" max="2" width="20.1640625" style="26" bestFit="1" customWidth="1"/>
    <col min="3" max="3" width="14.6640625" style="26" bestFit="1" customWidth="1"/>
    <col min="4" max="4" width="18.33203125" style="26" bestFit="1" customWidth="1"/>
    <col min="5" max="5" width="16.6640625" style="26" customWidth="1"/>
    <col min="6" max="6" width="10" style="26" bestFit="1" customWidth="1"/>
    <col min="7" max="7" width="10.33203125" style="26" bestFit="1" customWidth="1"/>
    <col min="8" max="8" width="10.83203125" style="26"/>
    <col min="9" max="9" width="40.1640625" style="26" bestFit="1" customWidth="1"/>
    <col min="10" max="10" width="11.5" style="26" customWidth="1"/>
    <col min="11" max="11" width="9.6640625" style="26" customWidth="1"/>
    <col min="12" max="12" width="14.1640625" style="26" bestFit="1" customWidth="1"/>
    <col min="13" max="16384" width="10.83203125" style="26"/>
  </cols>
  <sheetData>
    <row r="1" spans="1:12" ht="36" customHeight="1">
      <c r="A1" s="50" t="s">
        <v>81</v>
      </c>
      <c r="B1" s="46" t="s">
        <v>179</v>
      </c>
      <c r="C1" s="46" t="s">
        <v>159</v>
      </c>
      <c r="D1" s="46" t="s">
        <v>48</v>
      </c>
      <c r="E1" s="47" t="s">
        <v>40</v>
      </c>
      <c r="F1" s="46" t="s">
        <v>177</v>
      </c>
      <c r="G1" s="48" t="s">
        <v>178</v>
      </c>
      <c r="H1" s="49"/>
      <c r="I1" s="104" t="s">
        <v>82</v>
      </c>
      <c r="J1" s="639" t="s">
        <v>2</v>
      </c>
      <c r="K1" s="639" t="s">
        <v>3</v>
      </c>
      <c r="L1" s="640" t="s">
        <v>50</v>
      </c>
    </row>
    <row r="2" spans="1:12" ht="16" customHeight="1">
      <c r="A2" s="27" t="s">
        <v>52</v>
      </c>
      <c r="B2" s="28" t="s">
        <v>41</v>
      </c>
      <c r="C2" s="28"/>
      <c r="D2" s="28" t="s">
        <v>42</v>
      </c>
      <c r="E2" s="29">
        <v>0.77500000000000002</v>
      </c>
      <c r="F2" s="30">
        <v>7.2222222222222223</v>
      </c>
      <c r="G2" s="31">
        <v>13.888888888888889</v>
      </c>
      <c r="I2" s="641" t="s">
        <v>157</v>
      </c>
      <c r="J2" s="113"/>
      <c r="K2" s="113"/>
      <c r="L2" s="125"/>
    </row>
    <row r="3" spans="1:12" ht="16" customHeight="1">
      <c r="A3" s="27" t="s">
        <v>53</v>
      </c>
      <c r="B3" s="28" t="s">
        <v>43</v>
      </c>
      <c r="C3" s="28"/>
      <c r="D3" s="28" t="s">
        <v>44</v>
      </c>
      <c r="E3" s="29">
        <v>0.73</v>
      </c>
      <c r="F3" s="30">
        <v>15</v>
      </c>
      <c r="G3" s="31">
        <v>30</v>
      </c>
      <c r="I3" s="33" t="s">
        <v>85</v>
      </c>
      <c r="J3" s="34">
        <v>58.860000000000007</v>
      </c>
      <c r="K3" s="113">
        <v>5.91</v>
      </c>
      <c r="L3" s="125" t="s">
        <v>86</v>
      </c>
    </row>
    <row r="4" spans="1:12" ht="16" customHeight="1">
      <c r="A4" s="27" t="s">
        <v>54</v>
      </c>
      <c r="B4" s="28" t="s">
        <v>43</v>
      </c>
      <c r="C4" s="119">
        <v>7.4999999999999997E-2</v>
      </c>
      <c r="D4" s="28" t="s">
        <v>45</v>
      </c>
      <c r="E4" s="29">
        <v>0.75</v>
      </c>
      <c r="F4" s="30">
        <v>17.777777777777779</v>
      </c>
      <c r="G4" s="31">
        <v>25</v>
      </c>
      <c r="I4" s="641" t="s">
        <v>158</v>
      </c>
      <c r="J4" s="113"/>
      <c r="K4" s="113"/>
      <c r="L4" s="125"/>
    </row>
    <row r="5" spans="1:12" ht="16" customHeight="1">
      <c r="A5" s="27" t="s">
        <v>55</v>
      </c>
      <c r="B5" s="28" t="s">
        <v>43</v>
      </c>
      <c r="C5" s="28"/>
      <c r="D5" s="28" t="s">
        <v>42</v>
      </c>
      <c r="E5" s="29">
        <v>0.85</v>
      </c>
      <c r="F5" s="30">
        <v>17.777777777777779</v>
      </c>
      <c r="G5" s="31">
        <v>27.777777777777779</v>
      </c>
      <c r="I5" s="33" t="s">
        <v>83</v>
      </c>
      <c r="J5" s="34">
        <v>80.224000000000004</v>
      </c>
      <c r="K5" s="113">
        <v>33.49</v>
      </c>
      <c r="L5" s="125" t="s">
        <v>84</v>
      </c>
    </row>
    <row r="6" spans="1:12" ht="16" customHeight="1">
      <c r="A6" s="27" t="s">
        <v>56</v>
      </c>
      <c r="B6" s="28" t="s">
        <v>43</v>
      </c>
      <c r="C6" s="110">
        <v>0.1</v>
      </c>
      <c r="D6" s="28" t="s">
        <v>42</v>
      </c>
      <c r="E6" s="29">
        <v>0.85</v>
      </c>
      <c r="F6" s="30">
        <v>17.777777777777779</v>
      </c>
      <c r="G6" s="31">
        <v>27.777777777777779</v>
      </c>
      <c r="I6" s="33" t="s">
        <v>87</v>
      </c>
      <c r="J6" s="34">
        <v>80.660000000000011</v>
      </c>
      <c r="K6" s="113">
        <v>15.76</v>
      </c>
      <c r="L6" s="125" t="s">
        <v>84</v>
      </c>
    </row>
    <row r="7" spans="1:12" ht="16" customHeight="1">
      <c r="A7" s="27" t="s">
        <v>57</v>
      </c>
      <c r="B7" s="28" t="s">
        <v>43</v>
      </c>
      <c r="C7" s="28"/>
      <c r="D7" s="28" t="s">
        <v>46</v>
      </c>
      <c r="E7" s="29">
        <v>0.72499999999999998</v>
      </c>
      <c r="F7" s="30">
        <v>17.777777777777779</v>
      </c>
      <c r="G7" s="31">
        <v>25</v>
      </c>
      <c r="I7" s="33" t="s">
        <v>88</v>
      </c>
      <c r="J7" s="34">
        <v>80.725400000000008</v>
      </c>
      <c r="K7" s="113">
        <v>3.94</v>
      </c>
      <c r="L7" s="125" t="s">
        <v>84</v>
      </c>
    </row>
    <row r="8" spans="1:12" ht="16" customHeight="1">
      <c r="A8" s="27" t="s">
        <v>58</v>
      </c>
      <c r="B8" s="28" t="s">
        <v>41</v>
      </c>
      <c r="C8" s="28"/>
      <c r="D8" s="28" t="s">
        <v>47</v>
      </c>
      <c r="E8" s="29">
        <v>0.78</v>
      </c>
      <c r="F8" s="30">
        <v>10</v>
      </c>
      <c r="G8" s="31">
        <v>15</v>
      </c>
      <c r="I8" s="33" t="s">
        <v>89</v>
      </c>
      <c r="J8" s="34">
        <v>78.48</v>
      </c>
      <c r="K8" s="113">
        <v>5.91</v>
      </c>
      <c r="L8" s="125" t="s">
        <v>84</v>
      </c>
    </row>
    <row r="9" spans="1:12" ht="16" customHeight="1">
      <c r="A9" s="27" t="s">
        <v>59</v>
      </c>
      <c r="B9" s="28" t="s">
        <v>43</v>
      </c>
      <c r="C9" s="28"/>
      <c r="D9" s="28" t="s">
        <v>47</v>
      </c>
      <c r="E9" s="29">
        <v>0.78</v>
      </c>
      <c r="F9" s="30">
        <v>13.888888888888889</v>
      </c>
      <c r="G9" s="31">
        <v>22.222222222222221</v>
      </c>
      <c r="I9" s="33" t="s">
        <v>92</v>
      </c>
      <c r="J9" s="34">
        <v>63.220000000000006</v>
      </c>
      <c r="K9" s="113">
        <v>5.91</v>
      </c>
      <c r="L9" s="125" t="s">
        <v>84</v>
      </c>
    </row>
    <row r="10" spans="1:12" ht="16" customHeight="1">
      <c r="A10" s="27" t="s">
        <v>60</v>
      </c>
      <c r="B10" s="28" t="s">
        <v>43</v>
      </c>
      <c r="C10" s="28"/>
      <c r="D10" s="28" t="s">
        <v>47</v>
      </c>
      <c r="E10" s="29">
        <v>0.78</v>
      </c>
      <c r="F10" s="30">
        <v>16.666666666666668</v>
      </c>
      <c r="G10" s="31">
        <v>23.333333333333336</v>
      </c>
      <c r="I10" s="33" t="s">
        <v>93</v>
      </c>
      <c r="J10" s="34">
        <v>80.224000000000004</v>
      </c>
      <c r="K10" s="113">
        <v>3.94</v>
      </c>
      <c r="L10" s="125" t="s">
        <v>84</v>
      </c>
    </row>
    <row r="11" spans="1:12" ht="16" customHeight="1">
      <c r="A11" s="27" t="s">
        <v>61</v>
      </c>
      <c r="B11" s="28" t="s">
        <v>41</v>
      </c>
      <c r="C11" s="28"/>
      <c r="D11" s="28" t="s">
        <v>45</v>
      </c>
      <c r="E11" s="29">
        <v>0.79500000000000004</v>
      </c>
      <c r="F11" s="30">
        <v>17.777777777777779</v>
      </c>
      <c r="G11" s="31">
        <v>20</v>
      </c>
      <c r="I11" s="33" t="s">
        <v>109</v>
      </c>
      <c r="J11" s="34">
        <v>80.660000000000011</v>
      </c>
      <c r="K11" s="113">
        <v>7.88</v>
      </c>
      <c r="L11" s="125" t="s">
        <v>84</v>
      </c>
    </row>
    <row r="12" spans="1:12" ht="16" customHeight="1">
      <c r="A12" s="27" t="s">
        <v>62</v>
      </c>
      <c r="B12" s="28" t="s">
        <v>43</v>
      </c>
      <c r="C12" s="28"/>
      <c r="D12" s="28" t="s">
        <v>45</v>
      </c>
      <c r="E12" s="29">
        <v>0.72499999999999998</v>
      </c>
      <c r="F12" s="30">
        <v>21.111111111111111</v>
      </c>
      <c r="G12" s="31">
        <v>23.888888888888889</v>
      </c>
      <c r="I12" s="33" t="s">
        <v>111</v>
      </c>
      <c r="J12" s="34">
        <v>82.84</v>
      </c>
      <c r="K12" s="113">
        <v>3.94</v>
      </c>
      <c r="L12" s="125" t="s">
        <v>84</v>
      </c>
    </row>
    <row r="13" spans="1:12" ht="16" customHeight="1">
      <c r="A13" s="27" t="s">
        <v>63</v>
      </c>
      <c r="B13" s="28" t="s">
        <v>43</v>
      </c>
      <c r="C13" s="110">
        <v>0.14000000000000001</v>
      </c>
      <c r="D13" s="28" t="s">
        <v>42</v>
      </c>
      <c r="E13" s="29">
        <v>0.875</v>
      </c>
      <c r="F13" s="30">
        <v>26.111111111111111</v>
      </c>
      <c r="G13" s="31">
        <v>32.222222222222221</v>
      </c>
      <c r="I13" s="33" t="s">
        <v>113</v>
      </c>
      <c r="J13" s="34">
        <v>82.84</v>
      </c>
      <c r="K13" s="113">
        <v>11.82</v>
      </c>
      <c r="L13" s="125" t="s">
        <v>84</v>
      </c>
    </row>
    <row r="14" spans="1:12" ht="16" customHeight="1">
      <c r="A14" s="27" t="s">
        <v>64</v>
      </c>
      <c r="B14" s="28" t="s">
        <v>43</v>
      </c>
      <c r="C14" s="110">
        <v>0.09</v>
      </c>
      <c r="D14" s="28" t="s">
        <v>45</v>
      </c>
      <c r="E14" s="29">
        <v>0.76</v>
      </c>
      <c r="F14" s="30">
        <v>16.666666666666668</v>
      </c>
      <c r="G14" s="31">
        <v>23.333333333333336</v>
      </c>
      <c r="I14" s="33" t="s">
        <v>114</v>
      </c>
      <c r="J14" s="34">
        <v>82.84</v>
      </c>
      <c r="K14" s="113">
        <v>3.94</v>
      </c>
      <c r="L14" s="125" t="s">
        <v>84</v>
      </c>
    </row>
    <row r="15" spans="1:12" ht="16" customHeight="1">
      <c r="A15" s="27" t="s">
        <v>65</v>
      </c>
      <c r="B15" s="28" t="s">
        <v>43</v>
      </c>
      <c r="C15" s="110">
        <v>0.12</v>
      </c>
      <c r="D15" s="28" t="s">
        <v>47</v>
      </c>
      <c r="E15" s="29">
        <v>0.79500000000000004</v>
      </c>
      <c r="F15" s="30">
        <v>16.111111111111111</v>
      </c>
      <c r="G15" s="31">
        <v>22.222222222222221</v>
      </c>
      <c r="I15" s="33" t="s">
        <v>115</v>
      </c>
      <c r="J15" s="34">
        <v>85.02000000000001</v>
      </c>
      <c r="K15" s="113">
        <v>3.94</v>
      </c>
      <c r="L15" s="125" t="s">
        <v>84</v>
      </c>
    </row>
    <row r="16" spans="1:12" ht="16" customHeight="1">
      <c r="A16" s="27" t="s">
        <v>66</v>
      </c>
      <c r="B16" s="28" t="s">
        <v>43</v>
      </c>
      <c r="C16" s="28"/>
      <c r="D16" s="28" t="s">
        <v>42</v>
      </c>
      <c r="E16" s="29">
        <v>0.73</v>
      </c>
      <c r="F16" s="30">
        <v>17.777777777777779</v>
      </c>
      <c r="G16" s="31">
        <v>22.222222222222221</v>
      </c>
      <c r="I16" s="33" t="s">
        <v>116</v>
      </c>
      <c r="J16" s="34">
        <v>80.660000000000011</v>
      </c>
      <c r="K16" s="113">
        <v>5.91</v>
      </c>
      <c r="L16" s="125" t="s">
        <v>84</v>
      </c>
    </row>
    <row r="17" spans="1:12" ht="16" customHeight="1">
      <c r="A17" s="27" t="s">
        <v>67</v>
      </c>
      <c r="B17" s="28" t="s">
        <v>43</v>
      </c>
      <c r="C17" s="110">
        <v>0.11</v>
      </c>
      <c r="D17" s="28" t="s">
        <v>47</v>
      </c>
      <c r="E17" s="29">
        <v>0.78</v>
      </c>
      <c r="F17" s="30">
        <v>15</v>
      </c>
      <c r="G17" s="31">
        <v>23.333333333333336</v>
      </c>
      <c r="I17" s="33" t="s">
        <v>117</v>
      </c>
      <c r="J17" s="34">
        <v>78.48</v>
      </c>
      <c r="K17" s="113">
        <v>3.94</v>
      </c>
      <c r="L17" s="125" t="s">
        <v>84</v>
      </c>
    </row>
    <row r="18" spans="1:12" ht="16" customHeight="1">
      <c r="A18" s="27" t="s">
        <v>68</v>
      </c>
      <c r="B18" s="28" t="s">
        <v>43</v>
      </c>
      <c r="C18" s="28"/>
      <c r="D18" s="28" t="s">
        <v>42</v>
      </c>
      <c r="E18" s="29">
        <v>0.78</v>
      </c>
      <c r="F18" s="30">
        <v>15</v>
      </c>
      <c r="G18" s="31">
        <v>20</v>
      </c>
      <c r="I18" s="33" t="s">
        <v>118</v>
      </c>
      <c r="J18" s="34">
        <v>78.48</v>
      </c>
      <c r="K18" s="113">
        <v>3.94</v>
      </c>
      <c r="L18" s="125" t="s">
        <v>84</v>
      </c>
    </row>
    <row r="19" spans="1:12" ht="16" customHeight="1">
      <c r="A19" s="33" t="s">
        <v>69</v>
      </c>
      <c r="B19" s="28" t="s">
        <v>43</v>
      </c>
      <c r="C19" s="29">
        <v>9.5000000000000001E-2</v>
      </c>
      <c r="D19" s="28" t="s">
        <v>42</v>
      </c>
      <c r="E19" s="29">
        <v>0.81</v>
      </c>
      <c r="F19" s="30">
        <v>12.222222222222223</v>
      </c>
      <c r="G19" s="31">
        <v>25</v>
      </c>
      <c r="I19" s="33" t="s">
        <v>120</v>
      </c>
      <c r="J19" s="34">
        <v>80.660000000000011</v>
      </c>
      <c r="K19" s="113">
        <v>3.94</v>
      </c>
      <c r="L19" s="125" t="s">
        <v>84</v>
      </c>
    </row>
    <row r="20" spans="1:12" ht="16" customHeight="1">
      <c r="A20" s="33" t="s">
        <v>70</v>
      </c>
      <c r="B20" s="28" t="s">
        <v>43</v>
      </c>
      <c r="C20" s="28" t="s">
        <v>42</v>
      </c>
      <c r="D20" s="28" t="s">
        <v>42</v>
      </c>
      <c r="E20" s="29">
        <v>0.72</v>
      </c>
      <c r="F20" s="30">
        <v>15</v>
      </c>
      <c r="G20" s="31">
        <v>23.888888888888889</v>
      </c>
      <c r="I20" s="33" t="s">
        <v>122</v>
      </c>
      <c r="J20" s="34">
        <v>80.660000000000011</v>
      </c>
      <c r="K20" s="113">
        <v>7.88</v>
      </c>
      <c r="L20" s="125" t="s">
        <v>84</v>
      </c>
    </row>
    <row r="21" spans="1:12" ht="16" customHeight="1">
      <c r="A21" s="33" t="s">
        <v>71</v>
      </c>
      <c r="B21" s="28" t="s">
        <v>43</v>
      </c>
      <c r="C21" s="28"/>
      <c r="D21" s="28" t="s">
        <v>44</v>
      </c>
      <c r="E21" s="29">
        <v>0.9</v>
      </c>
      <c r="F21" s="30">
        <v>17.777777777777779</v>
      </c>
      <c r="G21" s="31">
        <v>27.777777777777779</v>
      </c>
      <c r="I21" s="33" t="s">
        <v>2908</v>
      </c>
      <c r="J21" s="642">
        <v>74</v>
      </c>
      <c r="K21" s="643">
        <v>4</v>
      </c>
      <c r="L21" s="125" t="s">
        <v>84</v>
      </c>
    </row>
    <row r="22" spans="1:12" ht="16" customHeight="1">
      <c r="A22" s="33" t="s">
        <v>72</v>
      </c>
      <c r="B22" s="28" t="s">
        <v>43</v>
      </c>
      <c r="C22" s="29">
        <v>9.7500000000000003E-2</v>
      </c>
      <c r="D22" s="28" t="s">
        <v>47</v>
      </c>
      <c r="E22" s="29">
        <v>0.75</v>
      </c>
      <c r="F22" s="30">
        <v>12.222222222222223</v>
      </c>
      <c r="G22" s="31">
        <v>25</v>
      </c>
      <c r="I22" s="33" t="s">
        <v>124</v>
      </c>
      <c r="J22" s="34">
        <v>81.75</v>
      </c>
      <c r="K22" s="113">
        <v>3.94</v>
      </c>
      <c r="L22" s="125" t="s">
        <v>84</v>
      </c>
    </row>
    <row r="23" spans="1:12" ht="16" customHeight="1">
      <c r="A23" s="33" t="s">
        <v>73</v>
      </c>
      <c r="B23" s="28" t="s">
        <v>43</v>
      </c>
      <c r="C23" s="29">
        <v>0.104</v>
      </c>
      <c r="D23" s="28" t="s">
        <v>47</v>
      </c>
      <c r="E23" s="29">
        <v>0.81</v>
      </c>
      <c r="F23" s="30">
        <v>12.222222222222223</v>
      </c>
      <c r="G23" s="31">
        <v>25</v>
      </c>
      <c r="I23" s="33" t="s">
        <v>133</v>
      </c>
      <c r="J23" s="34">
        <v>78.087600000000009</v>
      </c>
      <c r="K23" s="113">
        <v>3.94</v>
      </c>
      <c r="L23" s="125" t="s">
        <v>84</v>
      </c>
    </row>
    <row r="24" spans="1:12" ht="16" customHeight="1">
      <c r="A24" s="33" t="s">
        <v>74</v>
      </c>
      <c r="B24" s="28" t="s">
        <v>43</v>
      </c>
      <c r="C24" s="29">
        <v>0.11</v>
      </c>
      <c r="D24" s="28" t="s">
        <v>47</v>
      </c>
      <c r="E24" s="29">
        <v>0.82</v>
      </c>
      <c r="F24" s="30">
        <v>12.222222222222223</v>
      </c>
      <c r="G24" s="31">
        <v>25</v>
      </c>
      <c r="I24" s="33" t="s">
        <v>134</v>
      </c>
      <c r="J24" s="34">
        <v>77.913200000000003</v>
      </c>
      <c r="K24" s="113">
        <v>3.94</v>
      </c>
      <c r="L24" s="125" t="s">
        <v>84</v>
      </c>
    </row>
    <row r="25" spans="1:12" ht="16" customHeight="1">
      <c r="A25" s="33" t="s">
        <v>75</v>
      </c>
      <c r="B25" s="28" t="s">
        <v>43</v>
      </c>
      <c r="C25" s="29">
        <v>0.115</v>
      </c>
      <c r="D25" s="28" t="s">
        <v>47</v>
      </c>
      <c r="E25" s="29">
        <v>0.7</v>
      </c>
      <c r="F25" s="30">
        <v>12.222222222222223</v>
      </c>
      <c r="G25" s="31">
        <v>25</v>
      </c>
      <c r="I25" s="33" t="s">
        <v>135</v>
      </c>
      <c r="J25" s="34">
        <v>80.660000000000011</v>
      </c>
      <c r="K25" s="113">
        <v>5.91</v>
      </c>
      <c r="L25" s="125" t="s">
        <v>84</v>
      </c>
    </row>
    <row r="26" spans="1:12" ht="16" customHeight="1">
      <c r="A26" s="33" t="s">
        <v>76</v>
      </c>
      <c r="B26" s="28" t="s">
        <v>43</v>
      </c>
      <c r="C26" s="29">
        <v>0.115</v>
      </c>
      <c r="D26" s="28" t="s">
        <v>47</v>
      </c>
      <c r="E26" s="29">
        <v>0.7</v>
      </c>
      <c r="F26" s="30">
        <v>12.222222222222223</v>
      </c>
      <c r="G26" s="31">
        <v>25</v>
      </c>
      <c r="I26" s="33" t="s">
        <v>136</v>
      </c>
      <c r="J26" s="34">
        <v>80.660000000000011</v>
      </c>
      <c r="K26" s="113">
        <v>3.94</v>
      </c>
      <c r="L26" s="125" t="s">
        <v>84</v>
      </c>
    </row>
    <row r="27" spans="1:12" ht="16" customHeight="1">
      <c r="A27" s="33" t="s">
        <v>77</v>
      </c>
      <c r="B27" s="28" t="s">
        <v>51</v>
      </c>
      <c r="C27" s="29">
        <v>0.105</v>
      </c>
      <c r="D27" s="28" t="s">
        <v>44</v>
      </c>
      <c r="E27" s="29">
        <v>0.86</v>
      </c>
      <c r="F27" s="30">
        <v>12.222222222222223</v>
      </c>
      <c r="G27" s="31">
        <v>25</v>
      </c>
      <c r="I27" s="33" t="s">
        <v>139</v>
      </c>
      <c r="J27" s="34">
        <v>82.84</v>
      </c>
      <c r="K27" s="113">
        <v>5.9</v>
      </c>
      <c r="L27" s="125" t="s">
        <v>84</v>
      </c>
    </row>
    <row r="28" spans="1:12" ht="16" customHeight="1">
      <c r="A28" s="27" t="s">
        <v>2949</v>
      </c>
      <c r="B28" s="28" t="s">
        <v>2950</v>
      </c>
      <c r="C28" s="28" t="s">
        <v>572</v>
      </c>
      <c r="D28" s="28" t="s">
        <v>572</v>
      </c>
      <c r="E28" s="29">
        <v>0.15</v>
      </c>
      <c r="F28" s="30">
        <v>10</v>
      </c>
      <c r="G28" s="31">
        <v>25</v>
      </c>
      <c r="I28" s="33" t="s">
        <v>140</v>
      </c>
      <c r="J28" s="34">
        <v>80.224000000000004</v>
      </c>
      <c r="K28" s="113">
        <v>15.76</v>
      </c>
      <c r="L28" s="125" t="s">
        <v>84</v>
      </c>
    </row>
    <row r="29" spans="1:12" ht="16" customHeight="1">
      <c r="A29" s="33" t="s">
        <v>78</v>
      </c>
      <c r="B29" s="28" t="s">
        <v>41</v>
      </c>
      <c r="C29" s="29">
        <v>0.105</v>
      </c>
      <c r="D29" s="28" t="s">
        <v>47</v>
      </c>
      <c r="E29" s="29">
        <v>0.82</v>
      </c>
      <c r="F29" s="30">
        <v>8.8888888888888893</v>
      </c>
      <c r="G29" s="31">
        <v>22.222222222222221</v>
      </c>
      <c r="I29" s="33" t="s">
        <v>141</v>
      </c>
      <c r="J29" s="34">
        <v>61.040000000000006</v>
      </c>
      <c r="K29" s="113">
        <v>3.94</v>
      </c>
      <c r="L29" s="125" t="s">
        <v>84</v>
      </c>
    </row>
    <row r="30" spans="1:12" ht="16" customHeight="1">
      <c r="A30" s="33" t="s">
        <v>79</v>
      </c>
      <c r="B30" s="28" t="s">
        <v>41</v>
      </c>
      <c r="C30" s="29">
        <v>0.105</v>
      </c>
      <c r="D30" s="28" t="s">
        <v>47</v>
      </c>
      <c r="E30" s="29">
        <v>0.83</v>
      </c>
      <c r="F30" s="30">
        <v>8.8888888888888893</v>
      </c>
      <c r="G30" s="31">
        <v>22.222222222222221</v>
      </c>
      <c r="I30" s="33" t="s">
        <v>142</v>
      </c>
      <c r="J30" s="34">
        <v>82.84</v>
      </c>
      <c r="K30" s="113">
        <v>3.94</v>
      </c>
      <c r="L30" s="125" t="s">
        <v>84</v>
      </c>
    </row>
    <row r="31" spans="1:12" ht="16" customHeight="1" thickBot="1">
      <c r="A31" s="35" t="s">
        <v>80</v>
      </c>
      <c r="B31" s="36" t="s">
        <v>41</v>
      </c>
      <c r="C31" s="37">
        <v>0.105</v>
      </c>
      <c r="D31" s="36" t="s">
        <v>47</v>
      </c>
      <c r="E31" s="37">
        <v>0.84</v>
      </c>
      <c r="F31" s="38">
        <v>8.8888888888888893</v>
      </c>
      <c r="G31" s="39">
        <v>22.222222222222221</v>
      </c>
      <c r="I31" s="33" t="s">
        <v>144</v>
      </c>
      <c r="J31" s="34">
        <v>78.48</v>
      </c>
      <c r="K31" s="113">
        <v>5.91</v>
      </c>
      <c r="L31" s="125" t="s">
        <v>84</v>
      </c>
    </row>
    <row r="32" spans="1:12" ht="16" customHeight="1" thickBot="1">
      <c r="I32" s="33" t="s">
        <v>145</v>
      </c>
      <c r="J32" s="34">
        <v>79.735680000000002</v>
      </c>
      <c r="K32" s="113">
        <v>5.91</v>
      </c>
      <c r="L32" s="125" t="s">
        <v>84</v>
      </c>
    </row>
    <row r="33" spans="1:12" ht="27" thickBot="1">
      <c r="A33" s="104" t="s">
        <v>303</v>
      </c>
      <c r="B33" s="1"/>
      <c r="D33" s="1122" t="s">
        <v>367</v>
      </c>
      <c r="E33" s="1123"/>
      <c r="F33" s="1124"/>
      <c r="I33" s="26" t="s">
        <v>2929</v>
      </c>
      <c r="J33" s="642">
        <v>66</v>
      </c>
      <c r="K33" s="670">
        <v>10</v>
      </c>
      <c r="L33" s="671" t="s">
        <v>84</v>
      </c>
    </row>
    <row r="34" spans="1:12" ht="16" customHeight="1">
      <c r="A34" s="101" t="s">
        <v>146</v>
      </c>
      <c r="B34" s="101" t="s">
        <v>312</v>
      </c>
      <c r="D34" s="1125" t="s">
        <v>368</v>
      </c>
      <c r="E34" s="1126"/>
      <c r="F34" s="4">
        <v>2</v>
      </c>
      <c r="G34" s="40"/>
      <c r="I34" s="641" t="s">
        <v>156</v>
      </c>
      <c r="J34" s="113"/>
      <c r="K34" s="113"/>
      <c r="L34" s="125"/>
    </row>
    <row r="35" spans="1:12" ht="16" customHeight="1">
      <c r="A35" s="101" t="s">
        <v>313</v>
      </c>
      <c r="B35" s="105">
        <v>4</v>
      </c>
      <c r="D35" s="1118" t="s">
        <v>369</v>
      </c>
      <c r="E35" s="1119"/>
      <c r="F35" s="125">
        <v>2.4</v>
      </c>
      <c r="G35" s="40"/>
      <c r="I35" s="33" t="s">
        <v>94</v>
      </c>
      <c r="J35" s="34">
        <v>80.660000000000011</v>
      </c>
      <c r="K35" s="113">
        <v>53.19</v>
      </c>
      <c r="L35" s="125" t="s">
        <v>95</v>
      </c>
    </row>
    <row r="36" spans="1:12" ht="16" customHeight="1">
      <c r="A36" s="101" t="s">
        <v>314</v>
      </c>
      <c r="B36" s="105">
        <v>7.3</v>
      </c>
      <c r="D36" s="1118" t="s">
        <v>370</v>
      </c>
      <c r="E36" s="1119"/>
      <c r="F36" s="125">
        <v>2.7</v>
      </c>
      <c r="G36" s="40"/>
      <c r="I36" s="33" t="s">
        <v>96</v>
      </c>
      <c r="J36" s="34">
        <v>78.48</v>
      </c>
      <c r="K36" s="113">
        <v>51.22</v>
      </c>
      <c r="L36" s="125" t="s">
        <v>95</v>
      </c>
    </row>
    <row r="37" spans="1:12" ht="16" customHeight="1">
      <c r="A37" s="101" t="s">
        <v>315</v>
      </c>
      <c r="B37" s="105">
        <v>10.4</v>
      </c>
      <c r="D37" s="1118" t="s">
        <v>371</v>
      </c>
      <c r="E37" s="1119"/>
      <c r="F37" s="125">
        <v>3.5</v>
      </c>
      <c r="G37" s="40"/>
      <c r="I37" s="33" t="s">
        <v>97</v>
      </c>
      <c r="J37" s="34">
        <v>74.12</v>
      </c>
      <c r="K37" s="113">
        <v>27.58</v>
      </c>
      <c r="L37" s="125" t="s">
        <v>95</v>
      </c>
    </row>
    <row r="38" spans="1:12" ht="16" customHeight="1">
      <c r="A38" s="101" t="s">
        <v>316</v>
      </c>
      <c r="B38" s="105">
        <v>5.5</v>
      </c>
      <c r="D38" s="1118" t="s">
        <v>372</v>
      </c>
      <c r="E38" s="1119"/>
      <c r="F38" s="125">
        <v>2</v>
      </c>
      <c r="G38" s="40"/>
      <c r="I38" s="33" t="s">
        <v>102</v>
      </c>
      <c r="J38" s="34">
        <v>75.210000000000008</v>
      </c>
      <c r="K38" s="113">
        <v>3.94</v>
      </c>
      <c r="L38" s="125" t="s">
        <v>95</v>
      </c>
    </row>
    <row r="39" spans="1:12" ht="16" customHeight="1">
      <c r="A39" s="101" t="s">
        <v>317</v>
      </c>
      <c r="B39" s="105">
        <v>4.0999999999999996</v>
      </c>
      <c r="D39" s="1118" t="s">
        <v>373</v>
      </c>
      <c r="E39" s="1119"/>
      <c r="F39" s="125">
        <v>2.5</v>
      </c>
      <c r="G39" s="40"/>
      <c r="I39" s="33" t="s">
        <v>103</v>
      </c>
      <c r="J39" s="34">
        <v>74.12</v>
      </c>
      <c r="K39" s="113">
        <v>19.7</v>
      </c>
      <c r="L39" s="125" t="s">
        <v>95</v>
      </c>
    </row>
    <row r="40" spans="1:12" ht="16" customHeight="1">
      <c r="A40" s="101" t="s">
        <v>318</v>
      </c>
      <c r="B40" s="105">
        <v>4.83</v>
      </c>
      <c r="D40" s="1118" t="s">
        <v>374</v>
      </c>
      <c r="E40" s="1119"/>
      <c r="F40" s="125">
        <v>2.6</v>
      </c>
      <c r="G40" s="40"/>
      <c r="I40" s="33" t="s">
        <v>104</v>
      </c>
      <c r="J40" s="34">
        <v>73.03</v>
      </c>
      <c r="K40" s="113">
        <v>68.95</v>
      </c>
      <c r="L40" s="125" t="s">
        <v>95</v>
      </c>
    </row>
    <row r="41" spans="1:12" ht="16" customHeight="1" thickBot="1">
      <c r="A41" s="101" t="s">
        <v>319</v>
      </c>
      <c r="B41" s="105">
        <v>7.18</v>
      </c>
      <c r="D41" s="1120" t="s">
        <v>375</v>
      </c>
      <c r="E41" s="1121"/>
      <c r="F41" s="3">
        <v>4</v>
      </c>
      <c r="G41" s="40"/>
      <c r="I41" s="33" t="s">
        <v>105</v>
      </c>
      <c r="J41" s="34">
        <v>74.12</v>
      </c>
      <c r="K41" s="113">
        <v>88.65</v>
      </c>
      <c r="L41" s="125" t="s">
        <v>95</v>
      </c>
    </row>
    <row r="42" spans="1:12" ht="16" customHeight="1" thickBot="1">
      <c r="A42" s="101" t="s">
        <v>320</v>
      </c>
      <c r="B42" s="105">
        <v>11.8</v>
      </c>
      <c r="G42" s="40"/>
      <c r="I42" s="33" t="s">
        <v>106</v>
      </c>
      <c r="J42" s="34">
        <v>74.12</v>
      </c>
      <c r="K42" s="113">
        <v>112.28999999999999</v>
      </c>
      <c r="L42" s="125" t="s">
        <v>95</v>
      </c>
    </row>
    <row r="43" spans="1:12" ht="26">
      <c r="A43" s="101" t="s">
        <v>321</v>
      </c>
      <c r="B43" s="105">
        <v>8</v>
      </c>
      <c r="D43" s="1115" t="s">
        <v>377</v>
      </c>
      <c r="E43" s="1116"/>
      <c r="F43" s="1117"/>
      <c r="G43" s="40"/>
      <c r="I43" s="33" t="s">
        <v>107</v>
      </c>
      <c r="J43" s="34">
        <v>72</v>
      </c>
      <c r="K43" s="113">
        <v>3.94</v>
      </c>
      <c r="L43" s="125" t="s">
        <v>95</v>
      </c>
    </row>
    <row r="44" spans="1:12" ht="16" customHeight="1">
      <c r="A44" s="101" t="s">
        <v>322</v>
      </c>
      <c r="B44" s="105">
        <v>14</v>
      </c>
      <c r="D44" s="149" t="s">
        <v>371</v>
      </c>
      <c r="E44" s="147">
        <v>0.1</v>
      </c>
      <c r="F44" s="146">
        <v>0.5</v>
      </c>
      <c r="G44" s="41"/>
      <c r="I44" s="33" t="s">
        <v>2907</v>
      </c>
      <c r="J44" s="34">
        <v>76</v>
      </c>
      <c r="K44" s="113">
        <v>39</v>
      </c>
      <c r="L44" s="125" t="s">
        <v>95</v>
      </c>
    </row>
    <row r="45" spans="1:12" ht="16" customHeight="1">
      <c r="A45" s="101" t="s">
        <v>323</v>
      </c>
      <c r="B45" s="105">
        <v>16</v>
      </c>
      <c r="D45" s="149" t="s">
        <v>386</v>
      </c>
      <c r="E45" s="148">
        <v>0.1</v>
      </c>
      <c r="F45" s="146">
        <v>0.5</v>
      </c>
      <c r="G45" s="40"/>
      <c r="I45" s="33" t="s">
        <v>110</v>
      </c>
      <c r="J45" s="34">
        <v>80.660000000000011</v>
      </c>
      <c r="K45" s="113">
        <v>13.79</v>
      </c>
      <c r="L45" s="125" t="s">
        <v>95</v>
      </c>
    </row>
    <row r="46" spans="1:12" ht="16" customHeight="1">
      <c r="A46" s="101" t="s">
        <v>324</v>
      </c>
      <c r="B46" s="105">
        <v>3.3</v>
      </c>
      <c r="D46" s="149" t="s">
        <v>387</v>
      </c>
      <c r="E46" s="147">
        <v>0.23</v>
      </c>
      <c r="F46" s="146">
        <v>0.5</v>
      </c>
      <c r="G46" s="40"/>
      <c r="I46" s="33" t="s">
        <v>121</v>
      </c>
      <c r="J46" s="34">
        <v>73.248000000000005</v>
      </c>
      <c r="K46" s="113">
        <v>226.54999999999998</v>
      </c>
      <c r="L46" s="125" t="s">
        <v>95</v>
      </c>
    </row>
    <row r="47" spans="1:12" ht="16" customHeight="1">
      <c r="A47" s="101" t="s">
        <v>325</v>
      </c>
      <c r="B47" s="105">
        <v>7.4</v>
      </c>
      <c r="D47" s="149" t="s">
        <v>162</v>
      </c>
      <c r="E47" s="148">
        <v>0.24</v>
      </c>
      <c r="F47" s="146">
        <v>0.5</v>
      </c>
      <c r="G47" s="40"/>
      <c r="I47" s="33" t="s">
        <v>2909</v>
      </c>
      <c r="J47" s="642">
        <v>70</v>
      </c>
      <c r="K47" s="643">
        <v>70</v>
      </c>
      <c r="L47" s="125" t="s">
        <v>95</v>
      </c>
    </row>
    <row r="48" spans="1:12" ht="16" customHeight="1">
      <c r="A48" s="101" t="s">
        <v>326</v>
      </c>
      <c r="B48" s="105">
        <v>5.9</v>
      </c>
      <c r="D48" s="149" t="s">
        <v>388</v>
      </c>
      <c r="E48" s="148">
        <v>0.26</v>
      </c>
      <c r="F48" s="146">
        <v>0.5</v>
      </c>
      <c r="G48" s="40"/>
      <c r="I48" s="33" t="s">
        <v>126</v>
      </c>
      <c r="J48" s="34">
        <v>74.12</v>
      </c>
      <c r="K48" s="113">
        <v>27.58</v>
      </c>
      <c r="L48" s="125" t="s">
        <v>95</v>
      </c>
    </row>
    <row r="49" spans="1:12" ht="16" customHeight="1">
      <c r="A49" s="101" t="s">
        <v>327</v>
      </c>
      <c r="B49" s="105">
        <v>16.8</v>
      </c>
      <c r="D49" s="149" t="s">
        <v>389</v>
      </c>
      <c r="E49" s="148">
        <v>0.26</v>
      </c>
      <c r="F49" s="146">
        <v>0.5</v>
      </c>
      <c r="G49" s="40"/>
      <c r="I49" s="33" t="s">
        <v>127</v>
      </c>
      <c r="J49" s="34">
        <v>76.300000000000011</v>
      </c>
      <c r="K49" s="113">
        <v>23.64</v>
      </c>
      <c r="L49" s="125" t="s">
        <v>95</v>
      </c>
    </row>
    <row r="50" spans="1:12" ht="16" customHeight="1">
      <c r="A50" s="101" t="s">
        <v>328</v>
      </c>
      <c r="B50" s="105">
        <v>3.7</v>
      </c>
      <c r="D50" s="149" t="s">
        <v>390</v>
      </c>
      <c r="E50" s="148">
        <v>0.28999999999999998</v>
      </c>
      <c r="F50" s="146">
        <v>0.5</v>
      </c>
      <c r="G50" s="40"/>
      <c r="I50" s="33" t="s">
        <v>130</v>
      </c>
      <c r="J50" s="34">
        <v>71.940000000000012</v>
      </c>
      <c r="K50" s="113">
        <v>236.4</v>
      </c>
      <c r="L50" s="125" t="s">
        <v>95</v>
      </c>
    </row>
    <row r="51" spans="1:12" ht="16" customHeight="1">
      <c r="A51" s="101" t="s">
        <v>329</v>
      </c>
      <c r="B51" s="105">
        <v>6.5</v>
      </c>
      <c r="D51" s="149" t="s">
        <v>391</v>
      </c>
      <c r="E51" s="148">
        <v>0.31</v>
      </c>
      <c r="F51" s="146">
        <v>0.5</v>
      </c>
      <c r="G51" s="40"/>
      <c r="I51" s="33" t="s">
        <v>131</v>
      </c>
      <c r="J51" s="34">
        <v>71.940000000000012</v>
      </c>
      <c r="K51" s="113">
        <v>128.05000000000001</v>
      </c>
      <c r="L51" s="125" t="s">
        <v>95</v>
      </c>
    </row>
    <row r="52" spans="1:12" ht="16" customHeight="1">
      <c r="A52" s="101" t="s">
        <v>330</v>
      </c>
      <c r="B52" s="105">
        <v>10.4</v>
      </c>
      <c r="D52" s="149" t="s">
        <v>392</v>
      </c>
      <c r="E52" s="148">
        <v>0.35</v>
      </c>
      <c r="F52" s="146">
        <v>0.5</v>
      </c>
      <c r="G52" s="40"/>
      <c r="I52" s="33" t="s">
        <v>132</v>
      </c>
      <c r="J52" s="34">
        <v>75.646000000000015</v>
      </c>
      <c r="K52" s="113">
        <v>226.54999999999998</v>
      </c>
      <c r="L52" s="125" t="s">
        <v>95</v>
      </c>
    </row>
    <row r="53" spans="1:12" ht="16" customHeight="1">
      <c r="A53" s="101" t="s">
        <v>331</v>
      </c>
      <c r="B53" s="105">
        <v>3.6</v>
      </c>
      <c r="D53" s="149" t="s">
        <v>393</v>
      </c>
      <c r="E53" s="148">
        <v>0.38</v>
      </c>
      <c r="F53" s="146">
        <v>0.5</v>
      </c>
      <c r="G53" s="40"/>
      <c r="I53" s="33" t="s">
        <v>137</v>
      </c>
      <c r="J53" s="34">
        <v>69.760000000000005</v>
      </c>
      <c r="K53" s="113">
        <v>130.02000000000001</v>
      </c>
      <c r="L53" s="125" t="s">
        <v>95</v>
      </c>
    </row>
    <row r="54" spans="1:12" ht="16" customHeight="1">
      <c r="A54" s="101" t="s">
        <v>332</v>
      </c>
      <c r="B54" s="105">
        <v>12.8</v>
      </c>
      <c r="D54" s="149" t="s">
        <v>394</v>
      </c>
      <c r="E54" s="148">
        <v>0.43</v>
      </c>
      <c r="F54" s="146">
        <v>0.5</v>
      </c>
      <c r="G54" s="40"/>
      <c r="I54" s="33" t="s">
        <v>138</v>
      </c>
      <c r="J54" s="34">
        <v>74.12</v>
      </c>
      <c r="K54" s="113">
        <v>76.83</v>
      </c>
      <c r="L54" s="125" t="s">
        <v>95</v>
      </c>
    </row>
    <row r="55" spans="1:12" ht="16" customHeight="1">
      <c r="A55" s="101" t="s">
        <v>333</v>
      </c>
      <c r="B55" s="105">
        <v>7</v>
      </c>
      <c r="D55" s="149" t="s">
        <v>395</v>
      </c>
      <c r="E55" s="148">
        <v>0.47</v>
      </c>
      <c r="F55" s="146">
        <v>0.5</v>
      </c>
      <c r="G55" s="40"/>
      <c r="I55" s="33" t="s">
        <v>143</v>
      </c>
      <c r="J55" s="34">
        <v>74.12</v>
      </c>
      <c r="K55" s="113">
        <v>98.5</v>
      </c>
      <c r="L55" s="125" t="s">
        <v>95</v>
      </c>
    </row>
    <row r="56" spans="1:12" ht="16" customHeight="1">
      <c r="A56" s="101" t="s">
        <v>334</v>
      </c>
      <c r="B56" s="105">
        <v>6.6</v>
      </c>
      <c r="D56" s="149" t="s">
        <v>396</v>
      </c>
      <c r="E56" s="148">
        <v>0.47</v>
      </c>
      <c r="F56" s="146">
        <v>0.5</v>
      </c>
      <c r="G56" s="40"/>
      <c r="I56" s="641" t="s">
        <v>155</v>
      </c>
      <c r="J56" s="113"/>
      <c r="K56" s="113"/>
      <c r="L56" s="125"/>
    </row>
    <row r="57" spans="1:12" ht="16" customHeight="1">
      <c r="A57" s="101" t="s">
        <v>335</v>
      </c>
      <c r="B57" s="105">
        <v>15</v>
      </c>
      <c r="D57" s="149" t="s">
        <v>397</v>
      </c>
      <c r="E57" s="148">
        <v>0.47</v>
      </c>
      <c r="F57" s="146">
        <v>0.5</v>
      </c>
      <c r="G57" s="40"/>
      <c r="I57" s="33" t="s">
        <v>147</v>
      </c>
      <c r="J57" s="34">
        <v>69.760000000000005</v>
      </c>
      <c r="K57" s="113">
        <v>3.94</v>
      </c>
      <c r="L57" s="125" t="s">
        <v>123</v>
      </c>
    </row>
    <row r="58" spans="1:12" ht="16" customHeight="1">
      <c r="A58" s="101" t="s">
        <v>336</v>
      </c>
      <c r="B58" s="105">
        <v>3</v>
      </c>
      <c r="D58" s="149" t="s">
        <v>398</v>
      </c>
      <c r="E58" s="148">
        <v>0.49</v>
      </c>
      <c r="F58" s="146">
        <v>0.5</v>
      </c>
      <c r="G58" s="40"/>
      <c r="I58" s="33" t="s">
        <v>148</v>
      </c>
      <c r="J58" s="34">
        <v>87.2</v>
      </c>
      <c r="K58" s="113">
        <v>1.97</v>
      </c>
      <c r="L58" s="125" t="s">
        <v>123</v>
      </c>
    </row>
    <row r="59" spans="1:12" ht="16" customHeight="1">
      <c r="A59" s="101" t="s">
        <v>337</v>
      </c>
      <c r="B59" s="105">
        <v>13</v>
      </c>
      <c r="D59" s="149" t="s">
        <v>399</v>
      </c>
      <c r="E59" s="148">
        <v>0.57999999999999996</v>
      </c>
      <c r="F59" s="146">
        <v>0.5</v>
      </c>
      <c r="G59" s="40"/>
      <c r="I59" s="33" t="s">
        <v>149</v>
      </c>
      <c r="J59" s="34">
        <v>71.940000000000012</v>
      </c>
      <c r="K59" s="113">
        <v>3.94</v>
      </c>
      <c r="L59" s="125" t="s">
        <v>123</v>
      </c>
    </row>
    <row r="60" spans="1:12" ht="16" customHeight="1">
      <c r="A60" s="101" t="s">
        <v>338</v>
      </c>
      <c r="B60" s="105">
        <v>8.4</v>
      </c>
      <c r="D60" s="149" t="s">
        <v>400</v>
      </c>
      <c r="E60" s="148">
        <v>0.62</v>
      </c>
      <c r="F60" s="146">
        <v>0.5</v>
      </c>
      <c r="G60" s="40"/>
      <c r="I60" s="33" t="s">
        <v>150</v>
      </c>
      <c r="J60" s="34">
        <v>87.2</v>
      </c>
      <c r="K60" s="113">
        <v>1.97</v>
      </c>
      <c r="L60" s="125" t="s">
        <v>123</v>
      </c>
    </row>
    <row r="61" spans="1:12" ht="16" customHeight="1">
      <c r="A61" s="101" t="s">
        <v>339</v>
      </c>
      <c r="B61" s="105">
        <v>9.6</v>
      </c>
      <c r="D61" s="149" t="s">
        <v>401</v>
      </c>
      <c r="E61" s="148">
        <v>0.71</v>
      </c>
      <c r="F61" s="146">
        <v>0.5</v>
      </c>
      <c r="G61" s="40"/>
      <c r="I61" s="33" t="s">
        <v>151</v>
      </c>
      <c r="J61" s="34">
        <v>78.48</v>
      </c>
      <c r="K61" s="113">
        <v>5.91</v>
      </c>
      <c r="L61" s="125" t="s">
        <v>123</v>
      </c>
    </row>
    <row r="62" spans="1:12" ht="16" customHeight="1">
      <c r="A62" s="101" t="s">
        <v>340</v>
      </c>
      <c r="B62" s="105">
        <v>6.6</v>
      </c>
      <c r="D62" s="149" t="s">
        <v>402</v>
      </c>
      <c r="E62" s="148">
        <v>0.74</v>
      </c>
      <c r="F62" s="146">
        <v>0.5</v>
      </c>
      <c r="G62" s="40"/>
      <c r="I62" s="33" t="s">
        <v>152</v>
      </c>
      <c r="J62" s="34">
        <v>74.12</v>
      </c>
      <c r="K62" s="113">
        <v>3.94</v>
      </c>
      <c r="L62" s="125" t="s">
        <v>123</v>
      </c>
    </row>
    <row r="63" spans="1:12" ht="16" customHeight="1">
      <c r="A63" s="101" t="s">
        <v>341</v>
      </c>
      <c r="B63" s="105">
        <v>12.6</v>
      </c>
      <c r="D63" s="149" t="s">
        <v>403</v>
      </c>
      <c r="E63" s="148">
        <v>0.74</v>
      </c>
      <c r="F63" s="146">
        <v>0.5</v>
      </c>
      <c r="G63" s="40"/>
      <c r="I63" s="641" t="s">
        <v>154</v>
      </c>
      <c r="J63" s="113"/>
      <c r="K63" s="113"/>
      <c r="L63" s="125"/>
    </row>
    <row r="64" spans="1:12" ht="16" customHeight="1">
      <c r="A64" s="101" t="s">
        <v>342</v>
      </c>
      <c r="B64" s="105">
        <v>10.9</v>
      </c>
      <c r="D64" s="149" t="s">
        <v>404</v>
      </c>
      <c r="E64" s="148">
        <v>0.74</v>
      </c>
      <c r="F64" s="146">
        <v>0.5</v>
      </c>
      <c r="G64" s="40"/>
      <c r="I64" s="33" t="s">
        <v>90</v>
      </c>
      <c r="J64" s="34">
        <v>76.300000000000011</v>
      </c>
      <c r="K64" s="113">
        <v>5.91</v>
      </c>
      <c r="L64" s="125" t="s">
        <v>91</v>
      </c>
    </row>
    <row r="65" spans="1:12" ht="16" customHeight="1">
      <c r="A65" s="101" t="s">
        <v>343</v>
      </c>
      <c r="B65" s="105">
        <v>13</v>
      </c>
      <c r="D65" s="149" t="s">
        <v>164</v>
      </c>
      <c r="E65" s="148">
        <v>0.74</v>
      </c>
      <c r="F65" s="146">
        <v>0.5</v>
      </c>
      <c r="G65" s="40"/>
      <c r="I65" s="33" t="s">
        <v>98</v>
      </c>
      <c r="J65" s="34">
        <v>69.760000000000005</v>
      </c>
      <c r="K65" s="113">
        <v>669.8</v>
      </c>
      <c r="L65" s="125" t="s">
        <v>91</v>
      </c>
    </row>
    <row r="66" spans="1:12" ht="16" customHeight="1">
      <c r="A66" s="101" t="s">
        <v>344</v>
      </c>
      <c r="B66" s="105">
        <v>8.5</v>
      </c>
      <c r="D66" s="149" t="s">
        <v>405</v>
      </c>
      <c r="E66" s="148">
        <v>0.8</v>
      </c>
      <c r="F66" s="146">
        <v>0.5</v>
      </c>
      <c r="G66" s="40"/>
      <c r="I66" s="33" t="s">
        <v>99</v>
      </c>
      <c r="J66" s="34">
        <v>69.760000000000005</v>
      </c>
      <c r="K66" s="113">
        <v>1034.25</v>
      </c>
      <c r="L66" s="125" t="s">
        <v>91</v>
      </c>
    </row>
    <row r="67" spans="1:12" ht="16" customHeight="1">
      <c r="A67" s="101" t="s">
        <v>345</v>
      </c>
      <c r="B67" s="105">
        <v>17.2</v>
      </c>
      <c r="D67" s="149" t="s">
        <v>406</v>
      </c>
      <c r="E67" s="148">
        <v>0.83</v>
      </c>
      <c r="F67" s="146">
        <v>0.5</v>
      </c>
      <c r="G67" s="40"/>
      <c r="I67" s="33" t="s">
        <v>100</v>
      </c>
      <c r="J67" s="34">
        <v>65.182000000000002</v>
      </c>
      <c r="K67" s="113">
        <v>669.8</v>
      </c>
      <c r="L67" s="125" t="s">
        <v>91</v>
      </c>
    </row>
    <row r="68" spans="1:12" ht="16" customHeight="1">
      <c r="A68" s="101" t="s">
        <v>346</v>
      </c>
      <c r="B68" s="105">
        <v>4.05</v>
      </c>
      <c r="D68" s="149" t="s">
        <v>407</v>
      </c>
      <c r="E68" s="148">
        <v>0.84</v>
      </c>
      <c r="F68" s="146">
        <v>0.5</v>
      </c>
      <c r="G68" s="40"/>
      <c r="I68" s="33" t="s">
        <v>101</v>
      </c>
      <c r="J68" s="34">
        <v>65.182000000000002</v>
      </c>
      <c r="K68" s="113">
        <v>1034.25</v>
      </c>
      <c r="L68" s="125" t="s">
        <v>91</v>
      </c>
    </row>
    <row r="69" spans="1:12" ht="16" customHeight="1">
      <c r="A69" s="101" t="s">
        <v>347</v>
      </c>
      <c r="B69" s="105">
        <v>3.1</v>
      </c>
      <c r="D69" s="149" t="s">
        <v>408</v>
      </c>
      <c r="E69" s="148">
        <v>0.85</v>
      </c>
      <c r="F69" s="146">
        <v>0.5</v>
      </c>
      <c r="G69" s="40"/>
      <c r="I69" s="33" t="s">
        <v>108</v>
      </c>
      <c r="J69" s="34">
        <v>65.182000000000002</v>
      </c>
      <c r="K69" s="113">
        <v>472.8</v>
      </c>
      <c r="L69" s="125" t="s">
        <v>91</v>
      </c>
    </row>
    <row r="70" spans="1:12" ht="16" customHeight="1">
      <c r="A70" s="101" t="s">
        <v>348</v>
      </c>
      <c r="B70" s="105">
        <v>14.3</v>
      </c>
      <c r="D70" s="149" t="s">
        <v>409</v>
      </c>
      <c r="E70" s="148">
        <v>0.87</v>
      </c>
      <c r="F70" s="146">
        <v>0.5</v>
      </c>
      <c r="G70" s="40"/>
      <c r="I70" s="33" t="s">
        <v>112</v>
      </c>
      <c r="J70" s="34">
        <v>80.660000000000011</v>
      </c>
      <c r="K70" s="113">
        <v>19.7</v>
      </c>
      <c r="L70" s="125" t="s">
        <v>91</v>
      </c>
    </row>
    <row r="71" spans="1:12" ht="16" customHeight="1">
      <c r="A71" s="101" t="s">
        <v>349</v>
      </c>
      <c r="B71" s="105">
        <v>12.5</v>
      </c>
      <c r="D71" s="149" t="s">
        <v>410</v>
      </c>
      <c r="E71" s="148">
        <v>0.88</v>
      </c>
      <c r="F71" s="146">
        <v>0.5</v>
      </c>
      <c r="I71" s="33" t="s">
        <v>119</v>
      </c>
      <c r="J71" s="34">
        <v>65.182000000000002</v>
      </c>
      <c r="K71" s="113">
        <v>851.04</v>
      </c>
      <c r="L71" s="125" t="s">
        <v>91</v>
      </c>
    </row>
    <row r="72" spans="1:12" ht="16" customHeight="1" thickBot="1">
      <c r="A72" s="101" t="s">
        <v>350</v>
      </c>
      <c r="B72" s="105">
        <v>4.5</v>
      </c>
      <c r="D72" s="150" t="s">
        <v>411</v>
      </c>
      <c r="E72" s="151">
        <v>1.1299999999999999</v>
      </c>
      <c r="F72" s="152">
        <v>0.5</v>
      </c>
      <c r="G72" s="44"/>
      <c r="I72" s="33" t="s">
        <v>125</v>
      </c>
      <c r="J72" s="34">
        <v>74.12</v>
      </c>
      <c r="K72" s="113">
        <v>450</v>
      </c>
      <c r="L72" s="125" t="s">
        <v>91</v>
      </c>
    </row>
    <row r="73" spans="1:12" ht="16" customHeight="1" thickBot="1">
      <c r="A73" s="101" t="s">
        <v>351</v>
      </c>
      <c r="B73" s="105">
        <v>10.199999999999999</v>
      </c>
      <c r="I73" s="33" t="s">
        <v>128</v>
      </c>
      <c r="J73" s="34">
        <v>69.106000000000009</v>
      </c>
      <c r="K73" s="113">
        <v>350</v>
      </c>
      <c r="L73" s="125" t="s">
        <v>91</v>
      </c>
    </row>
    <row r="74" spans="1:12" ht="16" customHeight="1" thickBot="1">
      <c r="A74" s="101" t="s">
        <v>352</v>
      </c>
      <c r="B74" s="105">
        <v>14.3</v>
      </c>
      <c r="D74" s="143">
        <v>0</v>
      </c>
      <c r="E74" s="144" t="s">
        <v>862</v>
      </c>
      <c r="I74" s="35" t="s">
        <v>129</v>
      </c>
      <c r="J74" s="42">
        <v>74.12</v>
      </c>
      <c r="K74" s="644">
        <v>53.19</v>
      </c>
      <c r="L74" s="3" t="s">
        <v>91</v>
      </c>
    </row>
    <row r="75" spans="1:12" ht="16" customHeight="1">
      <c r="A75" s="101" t="s">
        <v>353</v>
      </c>
      <c r="B75" s="105">
        <v>2.6</v>
      </c>
      <c r="D75" s="27">
        <v>0.4</v>
      </c>
      <c r="E75" s="32" t="s">
        <v>863</v>
      </c>
    </row>
    <row r="76" spans="1:12" ht="16" customHeight="1">
      <c r="A76" s="101" t="s">
        <v>354</v>
      </c>
      <c r="B76" s="105">
        <v>11.5</v>
      </c>
      <c r="D76" s="27">
        <v>0.6</v>
      </c>
      <c r="E76" s="32" t="s">
        <v>864</v>
      </c>
    </row>
    <row r="77" spans="1:12" ht="16" customHeight="1">
      <c r="A77" s="101" t="s">
        <v>355</v>
      </c>
      <c r="B77" s="105">
        <v>4.5</v>
      </c>
      <c r="D77" s="27">
        <v>0.8</v>
      </c>
      <c r="E77" s="32" t="s">
        <v>865</v>
      </c>
    </row>
    <row r="78" spans="1:12" ht="16" customHeight="1">
      <c r="A78" s="101" t="s">
        <v>356</v>
      </c>
      <c r="B78" s="105">
        <v>17.899999999999999</v>
      </c>
      <c r="D78" s="27">
        <v>1.5</v>
      </c>
      <c r="E78" s="32" t="s">
        <v>866</v>
      </c>
    </row>
    <row r="79" spans="1:12" ht="16" customHeight="1">
      <c r="A79" s="101" t="s">
        <v>357</v>
      </c>
      <c r="B79" s="105">
        <v>7.3</v>
      </c>
      <c r="D79" s="27">
        <v>2</v>
      </c>
      <c r="E79" s="32" t="s">
        <v>869</v>
      </c>
    </row>
    <row r="80" spans="1:12" ht="16" customHeight="1">
      <c r="A80" s="28"/>
      <c r="B80" s="28"/>
      <c r="D80" s="27">
        <v>4</v>
      </c>
      <c r="E80" s="32" t="s">
        <v>867</v>
      </c>
    </row>
    <row r="81" spans="1:7" ht="16" customHeight="1" thickBot="1">
      <c r="A81" s="28"/>
      <c r="B81" s="28"/>
      <c r="D81" s="145">
        <v>9</v>
      </c>
      <c r="E81" s="43" t="s">
        <v>868</v>
      </c>
    </row>
    <row r="82" spans="1:7" ht="16" customHeight="1">
      <c r="A82" s="28"/>
      <c r="B82" s="28"/>
      <c r="E82" s="45"/>
      <c r="F82" s="45"/>
      <c r="G82" s="45"/>
    </row>
    <row r="83" spans="1:7" ht="16" customHeight="1">
      <c r="A83" s="28"/>
      <c r="B83" s="28"/>
      <c r="D83" s="126" t="s">
        <v>2897</v>
      </c>
      <c r="E83" s="126"/>
      <c r="F83" s="45"/>
      <c r="G83" s="45"/>
    </row>
    <row r="84" spans="1:7" ht="16" customHeight="1">
      <c r="A84" s="28"/>
      <c r="B84" s="28"/>
      <c r="D84" s="126" t="s">
        <v>2898</v>
      </c>
      <c r="E84" s="581"/>
      <c r="F84" s="45"/>
      <c r="G84" s="45"/>
    </row>
    <row r="85" spans="1:7" ht="16" customHeight="1">
      <c r="A85" s="28"/>
      <c r="B85" s="28"/>
      <c r="D85" s="126" t="s">
        <v>2901</v>
      </c>
      <c r="E85" s="580"/>
      <c r="F85" s="45"/>
      <c r="G85" s="45"/>
    </row>
    <row r="86" spans="1:7" ht="16" customHeight="1">
      <c r="A86" s="28"/>
      <c r="B86" s="28"/>
      <c r="D86" s="126" t="s">
        <v>2902</v>
      </c>
      <c r="E86" s="585"/>
      <c r="F86" s="45"/>
      <c r="G86" s="45"/>
    </row>
    <row r="87" spans="1:7" ht="16" customHeight="1">
      <c r="A87" s="28"/>
      <c r="B87" s="28"/>
      <c r="D87" s="126" t="s">
        <v>2899</v>
      </c>
      <c r="E87" s="587"/>
      <c r="F87" s="45"/>
      <c r="G87" s="45"/>
    </row>
    <row r="88" spans="1:7" ht="16" customHeight="1">
      <c r="A88" s="28"/>
      <c r="B88" s="28"/>
      <c r="D88" s="126" t="s">
        <v>2903</v>
      </c>
      <c r="E88" s="586"/>
      <c r="F88" s="45"/>
      <c r="G88" s="45"/>
    </row>
    <row r="89" spans="1:7" ht="16" customHeight="1">
      <c r="A89" s="28"/>
      <c r="B89" s="28"/>
      <c r="D89" s="126" t="s">
        <v>2900</v>
      </c>
      <c r="E89" s="582"/>
      <c r="F89" s="45"/>
      <c r="G89" s="45"/>
    </row>
    <row r="90" spans="1:7" ht="16" customHeight="1">
      <c r="A90" s="28"/>
      <c r="B90" s="28"/>
      <c r="D90" s="126" t="s">
        <v>378</v>
      </c>
      <c r="E90" s="588"/>
      <c r="F90" s="45"/>
      <c r="G90" s="45"/>
    </row>
    <row r="91" spans="1:7" ht="16" customHeight="1">
      <c r="D91" s="26" t="s">
        <v>2927</v>
      </c>
      <c r="E91" s="669"/>
      <c r="F91" s="45"/>
      <c r="G91" s="45"/>
    </row>
    <row r="92" spans="1:7" ht="16" customHeight="1">
      <c r="E92" s="45"/>
      <c r="F92" s="45"/>
      <c r="G92" s="45"/>
    </row>
    <row r="93" spans="1:7" ht="16" customHeight="1">
      <c r="E93" s="45"/>
      <c r="F93" s="45"/>
      <c r="G93" s="45"/>
    </row>
    <row r="94" spans="1:7" ht="16" customHeight="1">
      <c r="E94" s="45"/>
      <c r="F94" s="45"/>
      <c r="G94" s="45"/>
    </row>
    <row r="95" spans="1:7" ht="16" customHeight="1">
      <c r="E95" s="45"/>
      <c r="F95" s="45"/>
      <c r="G95" s="45"/>
    </row>
    <row r="96" spans="1:7" ht="16" customHeight="1">
      <c r="E96" s="45"/>
      <c r="F96" s="45"/>
      <c r="G96" s="45"/>
    </row>
    <row r="97" spans="5:7" ht="16" customHeight="1">
      <c r="E97" s="45"/>
      <c r="F97" s="45"/>
      <c r="G97" s="45"/>
    </row>
    <row r="98" spans="5:7" ht="16" customHeight="1">
      <c r="E98" s="45"/>
      <c r="F98" s="45"/>
      <c r="G98" s="45"/>
    </row>
    <row r="99" spans="5:7" ht="16" customHeight="1">
      <c r="E99" s="45"/>
      <c r="F99" s="45"/>
      <c r="G99" s="45"/>
    </row>
    <row r="100" spans="5:7" ht="16" customHeight="1">
      <c r="E100" s="45"/>
      <c r="F100" s="45"/>
      <c r="G100" s="45"/>
    </row>
    <row r="101" spans="5:7" ht="16" customHeight="1">
      <c r="E101" s="45"/>
      <c r="F101" s="45"/>
      <c r="G101" s="45"/>
    </row>
    <row r="161" spans="9:11" ht="16" customHeight="1">
      <c r="I161" s="45"/>
      <c r="J161" s="45"/>
      <c r="K161" s="45"/>
    </row>
    <row r="162" spans="9:11" ht="16" customHeight="1">
      <c r="I162" s="45"/>
      <c r="J162" s="45"/>
      <c r="K162" s="45"/>
    </row>
  </sheetData>
  <sortState xmlns:xlrd2="http://schemas.microsoft.com/office/spreadsheetml/2017/richdata2" ref="D44:F72">
    <sortCondition ref="D44:D72"/>
  </sortState>
  <mergeCells count="10">
    <mergeCell ref="D43:F43"/>
    <mergeCell ref="D40:E40"/>
    <mergeCell ref="D41:E41"/>
    <mergeCell ref="D33:F33"/>
    <mergeCell ref="D34:E34"/>
    <mergeCell ref="D35:E35"/>
    <mergeCell ref="D36:E36"/>
    <mergeCell ref="D37:E37"/>
    <mergeCell ref="D38:E38"/>
    <mergeCell ref="D39:E39"/>
  </mergeCells>
  <hyperlinks>
    <hyperlink ref="A2" r:id="rId1" display="https://www.brewersfriend.com/yeasts/mangrove-jack-bavarian-lager-m76/" xr:uid="{8B8AA0A8-1702-C348-932A-FA5A7BB4C02D}"/>
    <hyperlink ref="A3" r:id="rId2" display="https://www.brewersfriend.com/yeasts/mangrove-jack-bavarian-wheat-yeast-m20/" xr:uid="{024F59E5-8F69-474D-AB4F-9ED5163B81FA}"/>
    <hyperlink ref="A4" r:id="rId3" display="https://www.brewersfriend.com/yeasts/mangrove-jack-belgian-abbey-m47/" xr:uid="{E733E02D-DC34-CF48-9A77-65A82BE0D463}"/>
    <hyperlink ref="A5" r:id="rId4" display="https://www.brewersfriend.com/yeasts/mangrove-jack-belgian-ale-yeast-m41/" xr:uid="{94C92107-874B-524D-8475-DD07D09FB413}"/>
    <hyperlink ref="A6" r:id="rId5" display="https://www.brewersfriend.com/yeasts/mangrove-jack-belgian-tripel-m31/" xr:uid="{1A8041E1-5B43-E741-8BC5-C20231572CAA}"/>
    <hyperlink ref="A7" r:id="rId6" display="https://www.brewersfriend.com/yeasts/mangrove-jack-belgian-wit-m21/" xr:uid="{5473F18B-AB8D-AD47-9C96-9871924AEFDB}"/>
    <hyperlink ref="A8" r:id="rId7" display="https://www.brewersfriend.com/yeasts/mangrove-jack-bohemian-lager-yeast-m84/" xr:uid="{74E1913F-F568-A14C-96FE-1BB294A3B6BE}"/>
    <hyperlink ref="A9" r:id="rId8" display="https://www.brewersfriend.com/yeasts/mangrove-jack-british-ale-yeast-m07/" xr:uid="{23C36129-852C-0449-AEFB-F38587F44274}"/>
    <hyperlink ref="A10" r:id="rId9" display="https://www.brewersfriend.com/yeasts/mangrove-jack-burton-union-yeast-m79/" xr:uid="{01A328B6-2278-0C46-B3DC-02087431C122}"/>
    <hyperlink ref="A11" r:id="rId10" display="https://www.brewersfriend.com/yeasts/mangrove-jack-californian-lager-m54/" xr:uid="{498ECC6B-F5C3-604A-94E7-BECB9FD35323}"/>
    <hyperlink ref="A12" r:id="rId11" display="https://www.brewersfriend.com/yeasts/mangrove-jack-empire-ale-m15/" xr:uid="{4881841E-B66A-8A4F-AF34-8E9111A6B291}"/>
    <hyperlink ref="A13" r:id="rId12" display="https://www.brewersfriend.com/yeasts/mangrove-jack-french-saison-ale-m29/" xr:uid="{93800B57-5DF7-8A4D-9903-0231A5CCC665}"/>
    <hyperlink ref="A14" r:id="rId13" display="https://www.brewersfriend.com/yeasts/mangrove-jack-liberty-bell-ale-m36/" xr:uid="{E1C8F7AA-E1B1-8846-B749-7A2EDFE1ADFF}"/>
    <hyperlink ref="A15" r:id="rId14" display="https://www.brewersfriend.com/yeasts/mangrove-jack-new-world-strong-ale-m42/" xr:uid="{AD225F3D-1F35-8445-8826-171A96A55794}"/>
    <hyperlink ref="A16" r:id="rId15" display="https://www.brewersfriend.com/yeasts/mangrove-jack-newcastle-dark-ale-yeast-m03/" xr:uid="{C5135D0D-9F62-5547-BFDD-2B99E6372520}"/>
    <hyperlink ref="A17" r:id="rId16" display="https://www.brewersfriend.com/yeasts/mangrove-jack-us-west-coast-yeast-m44/" xr:uid="{2E122510-45F6-A140-92C5-FEAB04F31AED}"/>
    <hyperlink ref="A18" r:id="rId17" display="https://www.brewersfriend.com/yeasts/mangrove-jack-workhorse-beer-yeast-m10/" xr:uid="{1222F371-C341-ED4C-A2EC-29E7EADD6351}"/>
    <hyperlink ref="A19" r:id="rId18" display="https://www.brewersfriend.com/yeasts/fermentis-safale-safale-american-ale-yeast-us-05/" xr:uid="{96DEC50F-D879-FE4E-A024-FA1EFC0BB8C1}"/>
    <hyperlink ref="A20" r:id="rId19" display="https://www.brewersfriend.com/yeasts/fermentis-safale-safale-american-ale-yeast-us-56/" xr:uid="{5270B2E4-A45E-6946-9339-B087432E3AB2}"/>
    <hyperlink ref="A21" r:id="rId20" display="https://www.brewersfriend.com/yeasts/fermentis-safale-safale-belgian-saison-ale-yeast-be-134/" xr:uid="{12DAE96C-08B0-C641-82EB-27195DDFFA2E}"/>
    <hyperlink ref="A22" r:id="rId21" display="https://www.brewersfriend.com/yeasts/fermentis-safale-safale-english-ale-yeast-s-04/" xr:uid="{E41BC549-311D-CC4B-96CD-C2214F6EEA97}"/>
    <hyperlink ref="A23" r:id="rId22" display="https://www.brewersfriend.com/yeasts/fermentis-safale-safale-german-ale-yeast-k-97/" xr:uid="{0BB37BC6-527B-5142-8716-108F51FAAF65}"/>
    <hyperlink ref="A24" r:id="rId23" display="https://www.brewersfriend.com/yeasts/fermentis-safale-safbrew-abbaye-yeast-be-256/" xr:uid="{19874AB9-1466-EE42-8AD8-AF7B6273697F}"/>
    <hyperlink ref="A25" r:id="rId24" display="https://www.brewersfriend.com/yeasts/fermentis-safale-safbrew-general-belgian-yeast-s-33/" xr:uid="{EFD00FDB-31A4-0C4B-A136-D1538CFAB4F5}"/>
    <hyperlink ref="A26" r:id="rId25" display="https://www.brewersfriend.com/yeasts/fermentis-safale-safbrew-specialty-ale-yeast-t-58/" xr:uid="{BFE37DBD-0C56-EA45-9F97-553508E5A78C}"/>
    <hyperlink ref="A27" r:id="rId26" display="https://www.brewersfriend.com/yeasts/fermentis-safale-safbrew-wheat-beer-yeast-wb-06/" xr:uid="{C4554BC0-B511-7A4C-822A-66CF9B143EF5}"/>
    <hyperlink ref="A29" r:id="rId27" display="https://www.brewersfriend.com/yeasts/fermentis-safale-saflager-german-lager-yeast-s-23/" xr:uid="{7D10DCBC-A891-3746-801E-1320728F8CF5}"/>
    <hyperlink ref="A30" r:id="rId28" display="https://www.brewersfriend.com/yeasts/fermentis-safale-saflager-german-lager-yeast-w-34-70/" xr:uid="{ACA6367D-206B-0442-8C1A-3D6A7E2B86C6}"/>
    <hyperlink ref="A31" r:id="rId29" display="https://www.brewersfriend.com/yeasts/fermentis-safale-saflager-swiss-lager-yeast-s-189/" xr:uid="{DE7CC784-5BF4-9D44-BB21-2D40228F6A89}"/>
    <hyperlink ref="I5" r:id="rId30" display="https://www.brewersfriend.com/fermentables/weyermann-abbey-malt/" xr:uid="{546B7DC3-865C-6F48-97B1-FF68EA27AC51}"/>
    <hyperlink ref="I3" r:id="rId31" display="https://www.brewersfriend.com/fermentables/weyermann-acidulated/" xr:uid="{F53727F8-294C-994E-830D-31B30DC4ECA6}"/>
    <hyperlink ref="I6" r:id="rId32" display="https://www.brewersfriend.com/fermentables/weyermann-barke-munich-malt/" xr:uid="{2618D860-E585-0341-9FE0-39ACF8AF9C11}"/>
    <hyperlink ref="I7" r:id="rId33" display="https://www.brewersfriend.com/fermentables/weyermann-barke-pilsner-malt/" xr:uid="{A54B81DE-ACB9-6348-96DB-CA13610F9F2C}"/>
    <hyperlink ref="I8" r:id="rId34" display="https://www.brewersfriend.com/fermentables/weyermann-barke-vienna/" xr:uid="{BE621397-D979-DE40-9694-E31169E2E077}"/>
    <hyperlink ref="I64" r:id="rId35" display="https://www.brewersfriend.com/fermentables/weyermann-beech-smoked-barley/" xr:uid="{DC12C9BD-E82E-5F42-AC78-FE3BCDECBF65}"/>
    <hyperlink ref="I9" r:id="rId36" display="https://www.brewersfriend.com/fermentables/weyermann-bioland-pilsner-malt-(organic)/" xr:uid="{8C116E7C-7C81-1B4E-B0D3-8D08E68B6CC2}"/>
    <hyperlink ref="I10" r:id="rId37" display="https://www.brewersfriend.com/fermentables/weyermann-bohemian-pilsner-malt/" xr:uid="{DE88497F-BB57-6149-BA66-395E1091C015}"/>
    <hyperlink ref="I35" r:id="rId38" display="https://www.brewersfriend.com/fermentables/weyermann-caraamber/" xr:uid="{365BAE37-3E76-9A4F-AABB-E7D08C2DB0CC}"/>
    <hyperlink ref="I36" r:id="rId39" display="https://www.brewersfriend.com/fermentables/weyermann-caraaroma/" xr:uid="{547CDC1B-C463-9A47-8A1E-4BCC361C22A6}"/>
    <hyperlink ref="I37" r:id="rId40" display="https://www.brewersfriend.com/fermentables/weyermann-carabelge/" xr:uid="{4F05DE11-73D8-4148-8863-8AD521A4EA30}"/>
    <hyperlink ref="I65" r:id="rId41" display="https://www.brewersfriend.com/fermentables/weyermann-carafa-i/" xr:uid="{2B636BD2-9BC0-2D49-9679-D64793D67921}"/>
    <hyperlink ref="I66" r:id="rId42" display="https://www.brewersfriend.com/fermentables/weyermann-carafa-iii/" xr:uid="{DF8D5FFF-79F8-A149-973C-538CED94906A}"/>
    <hyperlink ref="I67" r:id="rId43" display="https://www.brewersfriend.com/fermentables/weyermann-carafa-special-type-1/" xr:uid="{8E218810-8B3B-F64F-964C-74213DB4A7FB}"/>
    <hyperlink ref="I68" r:id="rId44" display="https://www.brewersfriend.com/fermentables/weyermann-carafa-special-type-iii/" xr:uid="{EABD55C3-C365-9644-BE7A-05E88E4FC61E}"/>
    <hyperlink ref="I38" r:id="rId45" display="https://www.brewersfriend.com/fermentables/weyermann-carafoam/" xr:uid="{C2175440-63DB-B641-BAD4-21AE28A09B2E}"/>
    <hyperlink ref="I39" r:id="rId46" display="https://www.brewersfriend.com/fermentables/weyermann-carahell/" xr:uid="{39A13161-FCF1-7741-B71C-358097B1D3BE}"/>
    <hyperlink ref="I40" r:id="rId47" display="https://www.brewersfriend.com/fermentables/weyermann-caramunich-type-1/" xr:uid="{BF2D3011-D77E-C646-9B41-57171BA662D6}"/>
    <hyperlink ref="I41" r:id="rId48" display="https://www.brewersfriend.com/fermentables/weyermann-caramunich-type-2/" xr:uid="{147A67FD-12EE-2D42-B418-5F0E9874CA03}"/>
    <hyperlink ref="I42" r:id="rId49" display="https://www.brewersfriend.com/fermentables/weyermann-caramunich-type-3/" xr:uid="{E6CADABC-B2C9-9A49-89C2-B71B5B071486}"/>
    <hyperlink ref="I43" r:id="rId50" display="https://www.brewersfriend.com/fermentables/weyermann-carapils/" xr:uid="{5DE1EC4D-9B18-8A41-8AC7-DEDA034A0056}"/>
    <hyperlink ref="I69" r:id="rId51" display="https://www.brewersfriend.com/fermentables/weyermann-chocolate-rye/" xr:uid="{327EE3B8-349A-C04C-AB93-D3D27A2199BE}"/>
    <hyperlink ref="I11" r:id="rId52" display="https://www.brewersfriend.com/fermentables/weyermann-cologne-malt/" xr:uid="{1C44E744-DD62-794F-BFC7-3BDB4BCF204E}"/>
    <hyperlink ref="I45" r:id="rId53" display="https://www.brewersfriend.com/fermentables/weyermann-dark-wheat-malt/" xr:uid="{62E281D7-11BB-4649-B625-D72753D62F01}"/>
    <hyperlink ref="I12" r:id="rId54" display="https://www.brewersfriend.com/fermentables/weyermann-extra-pale-premium-pilsner-malt/" xr:uid="{04FE6441-5EBD-DB44-83E3-28EA75D09ACA}"/>
    <hyperlink ref="I70" r:id="rId55" display="https://www.brewersfriend.com/fermentables/weyermann-munich-dark/" xr:uid="{63914E9F-DE94-7246-A1C7-787FBDAA2A32}"/>
    <hyperlink ref="I13" r:id="rId56" display="https://www.brewersfriend.com/fermentables/weyermann-munich-type-i/" xr:uid="{2141C630-FBC7-0843-85A6-1FFA25696F83}"/>
    <hyperlink ref="I14" r:id="rId57" display="https://www.brewersfriend.com/fermentables/weyermann-oak-smoked-wheat-malt/" xr:uid="{4AF02654-8F86-F846-8AAD-60D9DD506E78}"/>
    <hyperlink ref="I15" r:id="rId58" display="https://www.brewersfriend.com/fermentables/weyermann-pale-ale/" xr:uid="{2082AE5E-A275-474A-8C1E-D417E965B736}"/>
    <hyperlink ref="I16" r:id="rId59" display="https://www.brewersfriend.com/fermentables/weyermann-pale-rye/" xr:uid="{81BDFDE2-F10B-424B-854D-8DFB4ADD7D9E}"/>
    <hyperlink ref="I17" r:id="rId60" display="https://www.brewersfriend.com/fermentables/weyermann-pale-wheat/" xr:uid="{A8B4C981-08D5-094B-ABE5-B8BBF2833AEF}"/>
    <hyperlink ref="I18" r:id="rId61" display="https://www.brewersfriend.com/fermentables/weyermann-pilsner/" xr:uid="{EF2C6F06-0967-D34C-8D71-DC2ACF027012}"/>
    <hyperlink ref="I71" r:id="rId62" display="https://www.brewersfriend.com/fermentables/weyermann-roasted-barley/" xr:uid="{6B5EC078-A3E2-4B4E-A80D-7A054393C650}"/>
    <hyperlink ref="I19" r:id="rId63" display="https://www.brewersfriend.com/fermentables/weyermann-schill-cologne/" xr:uid="{EF993ACA-246C-9F43-BE8A-1446164182B0}"/>
    <hyperlink ref="I46" r:id="rId64" display="https://www.brewersfriend.com/fermentables/weyermann-special-w/" xr:uid="{7E85D314-C820-5A45-BB19-2B06F4130A40}"/>
    <hyperlink ref="I20" r:id="rId65" display="https://www.brewersfriend.com/fermentables/weyermann-vienna-malt/" xr:uid="{632AABB3-9072-9147-8DE2-F035BE1BB4E9}"/>
    <hyperlink ref="I57" r:id="rId66" display="https://www.brewersfriend.com/fermentables/flaked-barley/" xr:uid="{F8BCEAEE-E7C0-ED4E-B8E0-1F29AA613AB4}"/>
    <hyperlink ref="I58" r:id="rId67" display="https://www.brewersfriend.com/fermentables/flaked-corn/" xr:uid="{0AEF5B60-B88B-384B-B51E-6F3975531A2E}"/>
    <hyperlink ref="I59" r:id="rId68" display="https://www.brewersfriend.com/fermentables/flaked-oats/" xr:uid="{87C8DAFB-419F-6643-BD50-8C01F961A841}"/>
    <hyperlink ref="I60" r:id="rId69" display="https://www.brewersfriend.com/fermentables/flaked-rice/" xr:uid="{B21D3237-1DA8-2743-871B-136C0E1DCEED}"/>
    <hyperlink ref="I61" r:id="rId70" display="https://www.brewersfriend.com/fermentables/flaked-rye/" xr:uid="{C0304172-BD13-5048-BAA9-F0437F5F9866}"/>
    <hyperlink ref="I62" r:id="rId71" display="https://www.brewersfriend.com/fermentables/flaked-wheat/" xr:uid="{6BA0D35E-159D-DA4E-8552-05F10970940A}"/>
    <hyperlink ref="I22" r:id="rId72" display="https://www.brewersfriend.com/fermentables/simpsons-best-pale-ale/" xr:uid="{E4C23BF2-0A0E-E349-8C47-03A07E0B07CB}"/>
    <hyperlink ref="I72" r:id="rId73" display="https://www.brewersfriend.com/fermentables/simpsons-black-malt/" xr:uid="{2C7B11DA-615E-354B-8674-F5B8724FCFC8}"/>
    <hyperlink ref="I48" r:id="rId74" display="https://www.brewersfriend.com/fermentables/simpsons-caramalt/" xr:uid="{7B5E25E9-2529-7E47-8DC9-68F41122D468}"/>
    <hyperlink ref="I49" r:id="rId75" display="https://www.brewersfriend.com/fermentables/simpsons-caramalt-light/" xr:uid="{E8C97426-9789-F344-9C30-EFF527D19996}"/>
    <hyperlink ref="I73" r:id="rId76" display="https://www.brewersfriend.com/fermentables/simpsons-chocolate-malt/" xr:uid="{655090FE-AC87-F545-AE57-1DEF5D3C4955}"/>
    <hyperlink ref="I74" r:id="rId77" display="https://www.brewersfriend.com/fermentables/simpsons-crisp-amber-malt/" xr:uid="{3448941A-564C-8B46-84FA-F595E70461A4}"/>
    <hyperlink ref="I50" r:id="rId78" display="https://www.brewersfriend.com/fermentables/simpsons-crystal-dark/" xr:uid="{42DCED39-9B7C-404E-AF96-5D9BF6876E20}"/>
    <hyperlink ref="I51" r:id="rId79" display="https://www.brewersfriend.com/fermentables/simpsons-crystal-medium/" xr:uid="{54191725-0034-A947-83A6-AAB4A9D98D3E}"/>
    <hyperlink ref="I52" r:id="rId80" display="https://www.brewersfriend.com/fermentables/simpsons-drc/" xr:uid="{2C9DB098-4B72-9C4C-BA53-526E5DCA2BB5}"/>
    <hyperlink ref="I23" r:id="rId81" display="https://www.brewersfriend.com/fermentables/simpsons-extra-pale-ale-malt/" xr:uid="{58BB3F27-CCBD-2D47-B9C2-4E18D76F187E}"/>
    <hyperlink ref="I24" r:id="rId82" display="https://www.brewersfriend.com/fermentables/simpsons-finest-lager-malt/" xr:uid="{299875D1-5FD9-D148-8074-EF81BFA6E49A}"/>
    <hyperlink ref="I25" r:id="rId83" display="https://www.brewersfriend.com/fermentables/simpsons-finest-pale-ale-maris-otter/" xr:uid="{943DD542-3FD1-294E-8443-2A4393B9840B}"/>
    <hyperlink ref="I26" r:id="rId84" display="https://www.brewersfriend.com/fermentables/simpsons-golden-promise/" xr:uid="{14FE4CC5-9126-0B41-87A2-B86ECAA52EB4}"/>
    <hyperlink ref="I53" r:id="rId85" display="https://www.brewersfriend.com/fermentables/simpsons-heritage-crystal/" xr:uid="{6A18DD1A-D3C8-FB46-BC95-90EA272487EF}"/>
    <hyperlink ref="I54" r:id="rId86" display="https://www.brewersfriend.com/fermentables/simpsons-light-crystal/" xr:uid="{5E2BB3A9-5897-8F48-A450-F27765C269BC}"/>
    <hyperlink ref="I27" r:id="rId87" display="https://www.brewersfriend.com/fermentables/simpsons-maris-otter-pale/" xr:uid="{094501EA-DB30-0E43-BFE9-B78322F3AE92}"/>
    <hyperlink ref="I28" r:id="rId88" display="https://www.brewersfriend.com/fermentables/simpsons-munich-malt/" xr:uid="{71C35B5B-194E-AF4C-A58F-EA5A068E5BCF}"/>
    <hyperlink ref="I29" r:id="rId89" display="https://www.brewersfriend.com/fermentables/simpsons-oat-malt/" xr:uid="{833DFEEB-2A33-D04D-9DA5-A43092EA14EB}"/>
    <hyperlink ref="I30" r:id="rId90" display="https://www.brewersfriend.com/fermentables/simpsons-pale-2-row/" xr:uid="{16E4040E-E05C-894E-BE32-D3668493A3B4}"/>
    <hyperlink ref="I55" r:id="rId91" display="https://www.brewersfriend.com/fermentables/simpsons-t50/" xr:uid="{207D6972-C5F1-8548-A748-8AE48C838D24}"/>
    <hyperlink ref="I31" r:id="rId92" display="https://www.brewersfriend.com/fermentables/simpsons-vienna/" xr:uid="{717BBB5C-5519-734A-87C1-6A6B2B6FDA5C}"/>
    <hyperlink ref="I32" r:id="rId93" display="https://www.brewersfriend.com/fermentables/simpsons-wheat/" xr:uid="{446E4494-56C0-A64F-A796-123CFAC547FA}"/>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9BFC1-0933-E040-A3DB-EA633DEDF78A}">
  <sheetPr codeName="Feuil11"/>
  <dimension ref="A1:H79"/>
  <sheetViews>
    <sheetView topLeftCell="A26" workbookViewId="0">
      <selection activeCell="H73" sqref="H73"/>
    </sheetView>
  </sheetViews>
  <sheetFormatPr baseColWidth="10" defaultRowHeight="16"/>
  <cols>
    <col min="1" max="1" width="24" bestFit="1" customWidth="1"/>
    <col min="2" max="2" width="13.5" bestFit="1" customWidth="1"/>
    <col min="3" max="3" width="9.5" bestFit="1" customWidth="1"/>
    <col min="4" max="4" width="8.33203125" style="126" customWidth="1"/>
    <col min="5" max="5" width="9.83203125" bestFit="1" customWidth="1"/>
    <col min="6" max="6" width="12.1640625" customWidth="1"/>
    <col min="7" max="7" width="11.5" bestFit="1" customWidth="1"/>
    <col min="8" max="8" width="12.5" customWidth="1"/>
  </cols>
  <sheetData>
    <row r="1" spans="1:8">
      <c r="A1" s="321" t="s">
        <v>1079</v>
      </c>
      <c r="B1" s="321" t="s">
        <v>1080</v>
      </c>
      <c r="C1" s="321" t="s">
        <v>50</v>
      </c>
      <c r="D1" s="321" t="s">
        <v>3</v>
      </c>
      <c r="E1" s="321" t="s">
        <v>1081</v>
      </c>
      <c r="F1" s="321" t="s">
        <v>1082</v>
      </c>
      <c r="G1" s="321" t="s">
        <v>1083</v>
      </c>
      <c r="H1" s="321" t="s">
        <v>2</v>
      </c>
    </row>
    <row r="2" spans="1:8">
      <c r="A2" s="322" t="s">
        <v>1093</v>
      </c>
      <c r="B2" s="323" t="s">
        <v>1087</v>
      </c>
      <c r="C2" s="323" t="s">
        <v>1179</v>
      </c>
      <c r="D2" s="323">
        <v>0</v>
      </c>
      <c r="E2" s="323" t="s">
        <v>1088</v>
      </c>
      <c r="F2" s="323">
        <v>1000</v>
      </c>
      <c r="G2" s="324">
        <v>0.05</v>
      </c>
      <c r="H2" s="325">
        <f>(F2-1000)/46</f>
        <v>0</v>
      </c>
    </row>
    <row r="3" spans="1:8">
      <c r="A3" s="322" t="s">
        <v>1125</v>
      </c>
      <c r="B3" s="323" t="s">
        <v>1087</v>
      </c>
      <c r="C3" s="323" t="s">
        <v>1179</v>
      </c>
      <c r="D3" s="323">
        <v>2</v>
      </c>
      <c r="E3" s="323" t="s">
        <v>1088</v>
      </c>
      <c r="F3" s="323">
        <v>1037</v>
      </c>
      <c r="G3" s="324">
        <v>0.1</v>
      </c>
      <c r="H3" s="325">
        <f t="shared" ref="H3:H32" si="0">(F3-1000)/46</f>
        <v>0.80434782608695654</v>
      </c>
    </row>
    <row r="4" spans="1:8">
      <c r="A4" s="322" t="s">
        <v>1144</v>
      </c>
      <c r="B4" s="323" t="s">
        <v>1087</v>
      </c>
      <c r="C4" s="323" t="s">
        <v>1179</v>
      </c>
      <c r="D4" s="323">
        <v>0</v>
      </c>
      <c r="E4" s="323" t="s">
        <v>1088</v>
      </c>
      <c r="F4" s="323">
        <v>1000</v>
      </c>
      <c r="G4" s="324">
        <v>0.05</v>
      </c>
      <c r="H4" s="325">
        <f t="shared" si="0"/>
        <v>0</v>
      </c>
    </row>
    <row r="5" spans="1:8">
      <c r="A5" s="322" t="s">
        <v>1094</v>
      </c>
      <c r="B5" s="323" t="s">
        <v>1087</v>
      </c>
      <c r="C5" s="323" t="s">
        <v>1178</v>
      </c>
      <c r="D5" s="323">
        <v>4</v>
      </c>
      <c r="E5" s="323" t="s">
        <v>1086</v>
      </c>
      <c r="F5" s="323">
        <v>1032</v>
      </c>
      <c r="G5" s="324">
        <v>0.2</v>
      </c>
      <c r="H5" s="325">
        <f t="shared" si="0"/>
        <v>0.69565217391304346</v>
      </c>
    </row>
    <row r="6" spans="1:8">
      <c r="A6" s="322" t="s">
        <v>1123</v>
      </c>
      <c r="B6" s="323" t="s">
        <v>1087</v>
      </c>
      <c r="C6" s="323" t="s">
        <v>1178</v>
      </c>
      <c r="D6" s="323">
        <v>2</v>
      </c>
      <c r="E6" s="323" t="s">
        <v>1086</v>
      </c>
      <c r="F6" s="323">
        <v>1037</v>
      </c>
      <c r="G6" s="324">
        <v>0.4</v>
      </c>
      <c r="H6" s="325">
        <f t="shared" si="0"/>
        <v>0.80434782608695654</v>
      </c>
    </row>
    <row r="7" spans="1:8">
      <c r="A7" s="322" t="s">
        <v>1135</v>
      </c>
      <c r="B7" s="323" t="s">
        <v>1087</v>
      </c>
      <c r="C7" s="323" t="s">
        <v>1178</v>
      </c>
      <c r="D7" s="323">
        <v>2</v>
      </c>
      <c r="E7" s="323" t="s">
        <v>1086</v>
      </c>
      <c r="F7" s="323">
        <v>1037</v>
      </c>
      <c r="G7" s="324">
        <v>0.3</v>
      </c>
      <c r="H7" s="325">
        <f t="shared" si="0"/>
        <v>0.80434782608695654</v>
      </c>
    </row>
    <row r="8" spans="1:8">
      <c r="A8" s="322" t="s">
        <v>1145</v>
      </c>
      <c r="B8" s="323" t="s">
        <v>1087</v>
      </c>
      <c r="C8" s="323" t="s">
        <v>1178</v>
      </c>
      <c r="D8" s="323">
        <v>2</v>
      </c>
      <c r="E8" s="323" t="s">
        <v>1086</v>
      </c>
      <c r="F8" s="323">
        <v>1032</v>
      </c>
      <c r="G8" s="324">
        <v>0.25</v>
      </c>
      <c r="H8" s="325">
        <f t="shared" si="0"/>
        <v>0.69565217391304346</v>
      </c>
    </row>
    <row r="9" spans="1:8">
      <c r="A9" s="322" t="s">
        <v>1156</v>
      </c>
      <c r="B9" s="323" t="s">
        <v>1087</v>
      </c>
      <c r="C9" s="323" t="s">
        <v>1178</v>
      </c>
      <c r="D9" s="323">
        <v>4</v>
      </c>
      <c r="E9" s="323" t="s">
        <v>1086</v>
      </c>
      <c r="F9" s="323">
        <v>1035</v>
      </c>
      <c r="G9" s="324">
        <v>0.4</v>
      </c>
      <c r="H9" s="325">
        <f t="shared" si="0"/>
        <v>0.76086956521739135</v>
      </c>
    </row>
    <row r="10" spans="1:8">
      <c r="A10" s="322" t="s">
        <v>298</v>
      </c>
      <c r="B10" s="323" t="s">
        <v>1084</v>
      </c>
      <c r="C10" s="323" t="s">
        <v>1085</v>
      </c>
      <c r="D10" s="323">
        <v>6</v>
      </c>
      <c r="E10" s="323" t="s">
        <v>1086</v>
      </c>
      <c r="F10" s="323">
        <v>1027</v>
      </c>
      <c r="G10" s="324">
        <v>0.1</v>
      </c>
      <c r="H10" s="325">
        <f t="shared" si="0"/>
        <v>0.58695652173913049</v>
      </c>
    </row>
    <row r="11" spans="1:8">
      <c r="A11" s="322" t="s">
        <v>1089</v>
      </c>
      <c r="B11" s="323" t="s">
        <v>1090</v>
      </c>
      <c r="C11" s="323" t="s">
        <v>1085</v>
      </c>
      <c r="D11" s="323">
        <v>43</v>
      </c>
      <c r="E11" s="323" t="s">
        <v>1086</v>
      </c>
      <c r="F11" s="323">
        <v>1035</v>
      </c>
      <c r="G11" s="324">
        <v>0.2</v>
      </c>
      <c r="H11" s="325">
        <f t="shared" si="0"/>
        <v>0.76086956521739135</v>
      </c>
    </row>
    <row r="12" spans="1:8">
      <c r="A12" s="322" t="s">
        <v>1091</v>
      </c>
      <c r="B12" s="323" t="s">
        <v>1092</v>
      </c>
      <c r="C12" s="323" t="s">
        <v>1085</v>
      </c>
      <c r="D12" s="323">
        <v>51</v>
      </c>
      <c r="E12" s="323" t="s">
        <v>1086</v>
      </c>
      <c r="F12" s="323">
        <v>1036</v>
      </c>
      <c r="G12" s="324">
        <v>0.1</v>
      </c>
      <c r="H12" s="325">
        <f t="shared" si="0"/>
        <v>0.78260869565217395</v>
      </c>
    </row>
    <row r="13" spans="1:8">
      <c r="A13" s="322" t="s">
        <v>1095</v>
      </c>
      <c r="B13" s="323" t="s">
        <v>1087</v>
      </c>
      <c r="C13" s="323" t="s">
        <v>1085</v>
      </c>
      <c r="D13" s="323">
        <v>4</v>
      </c>
      <c r="E13" s="323" t="s">
        <v>1086</v>
      </c>
      <c r="F13" s="323">
        <v>1028</v>
      </c>
      <c r="G13" s="324">
        <v>0.15</v>
      </c>
      <c r="H13" s="325">
        <f t="shared" si="0"/>
        <v>0.60869565217391308</v>
      </c>
    </row>
    <row r="14" spans="1:8">
      <c r="A14" s="322" t="s">
        <v>1096</v>
      </c>
      <c r="B14" s="323" t="s">
        <v>1087</v>
      </c>
      <c r="C14" s="323" t="s">
        <v>1085</v>
      </c>
      <c r="D14" s="323">
        <v>4</v>
      </c>
      <c r="E14" s="323" t="s">
        <v>1086</v>
      </c>
      <c r="F14" s="323">
        <v>1036</v>
      </c>
      <c r="G14" s="324">
        <v>0.4</v>
      </c>
      <c r="H14" s="325">
        <f t="shared" si="0"/>
        <v>0.78260869565217395</v>
      </c>
    </row>
    <row r="15" spans="1:8">
      <c r="A15" s="322" t="s">
        <v>1097</v>
      </c>
      <c r="B15" s="323" t="s">
        <v>1092</v>
      </c>
      <c r="C15" s="323" t="s">
        <v>1085</v>
      </c>
      <c r="D15" s="323">
        <v>45</v>
      </c>
      <c r="E15" s="323" t="s">
        <v>1088</v>
      </c>
      <c r="F15" s="323">
        <v>1036</v>
      </c>
      <c r="G15" s="324">
        <v>0.1</v>
      </c>
      <c r="H15" s="325">
        <f t="shared" si="0"/>
        <v>0.78260869565217395</v>
      </c>
    </row>
    <row r="16" spans="1:8">
      <c r="A16" s="322" t="s">
        <v>1098</v>
      </c>
      <c r="B16" s="323" t="s">
        <v>1087</v>
      </c>
      <c r="C16" s="323" t="s">
        <v>1085</v>
      </c>
      <c r="D16" s="323">
        <v>985</v>
      </c>
      <c r="E16" s="323" t="s">
        <v>1088</v>
      </c>
      <c r="F16" s="323">
        <v>1025</v>
      </c>
      <c r="G16" s="324">
        <v>0.1</v>
      </c>
      <c r="H16" s="325">
        <f t="shared" si="0"/>
        <v>0.54347826086956519</v>
      </c>
    </row>
    <row r="17" spans="1:8">
      <c r="A17" s="322" t="s">
        <v>1099</v>
      </c>
      <c r="B17" s="323" t="s">
        <v>1087</v>
      </c>
      <c r="C17" s="323" t="s">
        <v>1085</v>
      </c>
      <c r="D17" s="323">
        <v>985</v>
      </c>
      <c r="E17" s="323" t="s">
        <v>1088</v>
      </c>
      <c r="F17" s="323">
        <v>1025</v>
      </c>
      <c r="G17" s="324">
        <v>0.1</v>
      </c>
      <c r="H17" s="325">
        <f t="shared" si="0"/>
        <v>0.54347826086956519</v>
      </c>
    </row>
    <row r="18" spans="1:8">
      <c r="A18" s="322" t="s">
        <v>273</v>
      </c>
      <c r="B18" s="323" t="s">
        <v>1090</v>
      </c>
      <c r="C18" s="323" t="s">
        <v>1085</v>
      </c>
      <c r="D18" s="323">
        <v>128</v>
      </c>
      <c r="E18" s="323" t="s">
        <v>1086</v>
      </c>
      <c r="F18" s="323">
        <v>1032</v>
      </c>
      <c r="G18" s="324">
        <v>0.1</v>
      </c>
      <c r="H18" s="325">
        <f t="shared" si="0"/>
        <v>0.69565217391304346</v>
      </c>
    </row>
    <row r="19" spans="1:8">
      <c r="A19" s="322" t="s">
        <v>1102</v>
      </c>
      <c r="B19" s="323" t="s">
        <v>1084</v>
      </c>
      <c r="C19" s="323" t="s">
        <v>1085</v>
      </c>
      <c r="D19" s="323">
        <v>45</v>
      </c>
      <c r="E19" s="323" t="s">
        <v>1086</v>
      </c>
      <c r="F19" s="323">
        <v>1033</v>
      </c>
      <c r="G19" s="324">
        <v>0.1</v>
      </c>
      <c r="H19" s="325">
        <f t="shared" si="0"/>
        <v>0.71739130434782605</v>
      </c>
    </row>
    <row r="20" spans="1:8">
      <c r="A20" s="322" t="s">
        <v>1107</v>
      </c>
      <c r="B20" s="323" t="s">
        <v>1087</v>
      </c>
      <c r="C20" s="323" t="s">
        <v>1085</v>
      </c>
      <c r="D20" s="323">
        <v>4</v>
      </c>
      <c r="E20" s="323" t="s">
        <v>1088</v>
      </c>
      <c r="F20" s="323">
        <v>1033</v>
      </c>
      <c r="G20" s="324">
        <v>0.2</v>
      </c>
      <c r="H20" s="325">
        <f t="shared" si="0"/>
        <v>0.71739130434782605</v>
      </c>
    </row>
    <row r="21" spans="1:8">
      <c r="A21" s="322" t="s">
        <v>1108</v>
      </c>
      <c r="B21" s="323" t="s">
        <v>1087</v>
      </c>
      <c r="C21" s="323" t="s">
        <v>1085</v>
      </c>
      <c r="D21" s="323">
        <v>59</v>
      </c>
      <c r="E21" s="323" t="s">
        <v>1088</v>
      </c>
      <c r="F21" s="323">
        <v>1035</v>
      </c>
      <c r="G21" s="324">
        <v>0.2</v>
      </c>
      <c r="H21" s="325">
        <f t="shared" si="0"/>
        <v>0.76086956521739135</v>
      </c>
    </row>
    <row r="22" spans="1:8">
      <c r="A22" s="322" t="s">
        <v>1109</v>
      </c>
      <c r="B22" s="323" t="s">
        <v>1087</v>
      </c>
      <c r="C22" s="323" t="s">
        <v>1085</v>
      </c>
      <c r="D22" s="323">
        <v>4</v>
      </c>
      <c r="E22" s="323" t="s">
        <v>1088</v>
      </c>
      <c r="F22" s="323">
        <v>1033</v>
      </c>
      <c r="G22" s="324">
        <v>0.2</v>
      </c>
      <c r="H22" s="325">
        <f t="shared" si="0"/>
        <v>0.71739130434782605</v>
      </c>
    </row>
    <row r="23" spans="1:8">
      <c r="A23" s="322" t="s">
        <v>1110</v>
      </c>
      <c r="B23" s="323" t="s">
        <v>1087</v>
      </c>
      <c r="C23" s="323" t="s">
        <v>1085</v>
      </c>
      <c r="D23" s="323">
        <v>20</v>
      </c>
      <c r="E23" s="323" t="s">
        <v>1088</v>
      </c>
      <c r="F23" s="323">
        <v>1035</v>
      </c>
      <c r="G23" s="324">
        <v>0.2</v>
      </c>
      <c r="H23" s="325">
        <f t="shared" si="0"/>
        <v>0.76086956521739135</v>
      </c>
    </row>
    <row r="24" spans="1:8">
      <c r="A24" s="322" t="s">
        <v>1111</v>
      </c>
      <c r="B24" s="323" t="s">
        <v>1087</v>
      </c>
      <c r="C24" s="323" t="s">
        <v>1085</v>
      </c>
      <c r="D24" s="323">
        <v>39</v>
      </c>
      <c r="E24" s="323" t="s">
        <v>1088</v>
      </c>
      <c r="F24" s="323">
        <v>1035</v>
      </c>
      <c r="G24" s="324">
        <v>0.2</v>
      </c>
      <c r="H24" s="325">
        <f t="shared" si="0"/>
        <v>0.76086956521739135</v>
      </c>
    </row>
    <row r="25" spans="1:8">
      <c r="A25" s="322" t="s">
        <v>1112</v>
      </c>
      <c r="B25" s="323" t="s">
        <v>1087</v>
      </c>
      <c r="C25" s="323" t="s">
        <v>1085</v>
      </c>
      <c r="D25" s="323">
        <v>59</v>
      </c>
      <c r="E25" s="323" t="s">
        <v>1088</v>
      </c>
      <c r="F25" s="323">
        <v>1035</v>
      </c>
      <c r="G25" s="324">
        <v>0.2</v>
      </c>
      <c r="H25" s="325">
        <f t="shared" si="0"/>
        <v>0.76086956521739135</v>
      </c>
    </row>
    <row r="26" spans="1:8">
      <c r="A26" s="322" t="s">
        <v>1113</v>
      </c>
      <c r="B26" s="323" t="s">
        <v>1087</v>
      </c>
      <c r="C26" s="323" t="s">
        <v>1085</v>
      </c>
      <c r="D26" s="323">
        <v>79</v>
      </c>
      <c r="E26" s="323" t="s">
        <v>1088</v>
      </c>
      <c r="F26" s="323">
        <v>1034</v>
      </c>
      <c r="G26" s="324">
        <v>0.2</v>
      </c>
      <c r="H26" s="325">
        <f t="shared" si="0"/>
        <v>0.73913043478260865</v>
      </c>
    </row>
    <row r="27" spans="1:8">
      <c r="A27" s="322" t="s">
        <v>1114</v>
      </c>
      <c r="B27" s="323" t="s">
        <v>1087</v>
      </c>
      <c r="C27" s="323" t="s">
        <v>1085</v>
      </c>
      <c r="D27" s="323">
        <v>118</v>
      </c>
      <c r="E27" s="323" t="s">
        <v>1088</v>
      </c>
      <c r="F27" s="323">
        <v>1034</v>
      </c>
      <c r="G27" s="324">
        <v>0.2</v>
      </c>
      <c r="H27" s="325">
        <f t="shared" si="0"/>
        <v>0.73913043478260865</v>
      </c>
    </row>
    <row r="28" spans="1:8">
      <c r="A28" s="322" t="s">
        <v>1115</v>
      </c>
      <c r="B28" s="323" t="s">
        <v>1087</v>
      </c>
      <c r="C28" s="323" t="s">
        <v>1085</v>
      </c>
      <c r="D28" s="323">
        <v>158</v>
      </c>
      <c r="E28" s="323" t="s">
        <v>1088</v>
      </c>
      <c r="F28" s="323">
        <v>1034</v>
      </c>
      <c r="G28" s="324">
        <v>0.2</v>
      </c>
      <c r="H28" s="325">
        <f t="shared" si="0"/>
        <v>0.73913043478260865</v>
      </c>
    </row>
    <row r="29" spans="1:8">
      <c r="A29" s="322" t="s">
        <v>1116</v>
      </c>
      <c r="B29" s="323" t="s">
        <v>1087</v>
      </c>
      <c r="C29" s="323" t="s">
        <v>1085</v>
      </c>
      <c r="D29" s="323">
        <v>236</v>
      </c>
      <c r="E29" s="323" t="s">
        <v>1088</v>
      </c>
      <c r="F29" s="323">
        <v>1033</v>
      </c>
      <c r="G29" s="324">
        <v>0.2</v>
      </c>
      <c r="H29" s="325">
        <f t="shared" si="0"/>
        <v>0.71739130434782605</v>
      </c>
    </row>
    <row r="30" spans="1:8">
      <c r="A30" s="322" t="s">
        <v>1117</v>
      </c>
      <c r="B30" s="323" t="s">
        <v>1092</v>
      </c>
      <c r="C30" s="323" t="s">
        <v>1085</v>
      </c>
      <c r="D30" s="323">
        <v>110</v>
      </c>
      <c r="E30" s="323" t="s">
        <v>1088</v>
      </c>
      <c r="F30" s="323">
        <v>1033</v>
      </c>
      <c r="G30" s="324">
        <v>0.1</v>
      </c>
      <c r="H30" s="325">
        <f t="shared" si="0"/>
        <v>0.71739130434782605</v>
      </c>
    </row>
    <row r="31" spans="1:8">
      <c r="A31" s="322" t="s">
        <v>1118</v>
      </c>
      <c r="B31" s="323" t="s">
        <v>1087</v>
      </c>
      <c r="C31" s="323" t="s">
        <v>1085</v>
      </c>
      <c r="D31" s="323">
        <v>39</v>
      </c>
      <c r="E31" s="323" t="s">
        <v>1088</v>
      </c>
      <c r="F31" s="323">
        <v>1035</v>
      </c>
      <c r="G31" s="324">
        <v>0.2</v>
      </c>
      <c r="H31" s="325">
        <f t="shared" si="0"/>
        <v>0.76086956521739135</v>
      </c>
    </row>
    <row r="32" spans="1:8">
      <c r="A32" s="322" t="s">
        <v>1119</v>
      </c>
      <c r="B32" s="323" t="s">
        <v>1092</v>
      </c>
      <c r="C32" s="323" t="s">
        <v>1085</v>
      </c>
      <c r="D32" s="323">
        <v>43</v>
      </c>
      <c r="E32" s="323" t="s">
        <v>1088</v>
      </c>
      <c r="F32" s="323">
        <v>1034</v>
      </c>
      <c r="G32" s="324">
        <v>0.1</v>
      </c>
      <c r="H32" s="325">
        <f t="shared" si="0"/>
        <v>0.73913043478260865</v>
      </c>
    </row>
    <row r="33" spans="1:8">
      <c r="A33" s="322" t="s">
        <v>1120</v>
      </c>
      <c r="B33" s="323" t="s">
        <v>1090</v>
      </c>
      <c r="C33" s="323" t="s">
        <v>1085</v>
      </c>
      <c r="D33" s="323">
        <v>887</v>
      </c>
      <c r="E33" s="323" t="s">
        <v>1088</v>
      </c>
      <c r="F33" s="323">
        <v>1034</v>
      </c>
      <c r="G33" s="324">
        <v>0.1</v>
      </c>
      <c r="H33" s="325">
        <f t="shared" ref="H33:H65" si="1">(F33-1000)/46</f>
        <v>0.73913043478260865</v>
      </c>
    </row>
    <row r="34" spans="1:8">
      <c r="A34" s="322" t="s">
        <v>1128</v>
      </c>
      <c r="B34" s="323" t="s">
        <v>1084</v>
      </c>
      <c r="C34" s="323" t="s">
        <v>1085</v>
      </c>
      <c r="D34" s="323">
        <v>39</v>
      </c>
      <c r="E34" s="323" t="s">
        <v>1086</v>
      </c>
      <c r="F34" s="323">
        <v>1037</v>
      </c>
      <c r="G34" s="324">
        <v>0.15</v>
      </c>
      <c r="H34" s="325">
        <f t="shared" si="1"/>
        <v>0.80434782608695654</v>
      </c>
    </row>
    <row r="35" spans="1:8">
      <c r="A35" s="322" t="s">
        <v>1129</v>
      </c>
      <c r="B35" s="323" t="s">
        <v>1090</v>
      </c>
      <c r="C35" s="323" t="s">
        <v>1085</v>
      </c>
      <c r="D35" s="323">
        <v>8</v>
      </c>
      <c r="E35" s="323" t="s">
        <v>1086</v>
      </c>
      <c r="F35" s="323">
        <v>1037</v>
      </c>
      <c r="G35" s="324">
        <v>1</v>
      </c>
      <c r="H35" s="325">
        <f t="shared" si="1"/>
        <v>0.80434782608695654</v>
      </c>
    </row>
    <row r="36" spans="1:8">
      <c r="A36" s="322" t="s">
        <v>1132</v>
      </c>
      <c r="B36" s="323" t="s">
        <v>1084</v>
      </c>
      <c r="C36" s="323" t="s">
        <v>1085</v>
      </c>
      <c r="D36" s="323">
        <v>18</v>
      </c>
      <c r="E36" s="323" t="s">
        <v>1086</v>
      </c>
      <c r="F36" s="323">
        <v>1037</v>
      </c>
      <c r="G36" s="324">
        <v>0.8</v>
      </c>
      <c r="H36" s="325">
        <f t="shared" si="1"/>
        <v>0.80434782608695654</v>
      </c>
    </row>
    <row r="37" spans="1:8">
      <c r="A37" s="322" t="s">
        <v>1133</v>
      </c>
      <c r="B37" s="323" t="s">
        <v>1087</v>
      </c>
      <c r="C37" s="323" t="s">
        <v>1085</v>
      </c>
      <c r="D37" s="323">
        <v>20</v>
      </c>
      <c r="E37" s="323" t="s">
        <v>1086</v>
      </c>
      <c r="F37" s="323">
        <v>1035</v>
      </c>
      <c r="G37" s="324">
        <v>0.8</v>
      </c>
      <c r="H37" s="325">
        <f t="shared" si="1"/>
        <v>0.76086956521739135</v>
      </c>
    </row>
    <row r="38" spans="1:8">
      <c r="A38" s="322" t="s">
        <v>1134</v>
      </c>
      <c r="B38" s="323" t="s">
        <v>1087</v>
      </c>
      <c r="C38" s="323" t="s">
        <v>1085</v>
      </c>
      <c r="D38" s="323">
        <v>39</v>
      </c>
      <c r="E38" s="323" t="s">
        <v>1086</v>
      </c>
      <c r="F38" s="323">
        <v>1035</v>
      </c>
      <c r="G38" s="324">
        <v>0.8</v>
      </c>
      <c r="H38" s="325">
        <f t="shared" si="1"/>
        <v>0.76086956521739135</v>
      </c>
    </row>
    <row r="39" spans="1:8">
      <c r="A39" s="322" t="s">
        <v>1136</v>
      </c>
      <c r="B39" s="323" t="s">
        <v>1087</v>
      </c>
      <c r="C39" s="323" t="s">
        <v>1085</v>
      </c>
      <c r="D39" s="323">
        <v>2</v>
      </c>
      <c r="E39" s="323" t="s">
        <v>1086</v>
      </c>
      <c r="F39" s="323">
        <v>1037</v>
      </c>
      <c r="G39" s="324">
        <v>0.1</v>
      </c>
      <c r="H39" s="325">
        <f t="shared" si="1"/>
        <v>0.80434782608695654</v>
      </c>
    </row>
    <row r="40" spans="1:8" s="126" customFormat="1">
      <c r="A40" s="322" t="s">
        <v>2915</v>
      </c>
      <c r="B40" s="323" t="s">
        <v>2916</v>
      </c>
      <c r="C40" s="323" t="s">
        <v>1085</v>
      </c>
      <c r="D40" s="323">
        <v>6</v>
      </c>
      <c r="E40" s="323" t="s">
        <v>1086</v>
      </c>
      <c r="F40" s="323">
        <v>1038</v>
      </c>
      <c r="G40" s="324">
        <v>1</v>
      </c>
      <c r="H40" s="325">
        <f t="shared" si="1"/>
        <v>0.82608695652173914</v>
      </c>
    </row>
    <row r="41" spans="1:8">
      <c r="A41" s="322" t="s">
        <v>1137</v>
      </c>
      <c r="B41" s="323" t="s">
        <v>1092</v>
      </c>
      <c r="C41" s="323" t="s">
        <v>1085</v>
      </c>
      <c r="D41" s="323">
        <v>6</v>
      </c>
      <c r="E41" s="323" t="s">
        <v>1086</v>
      </c>
      <c r="F41" s="323">
        <v>1037</v>
      </c>
      <c r="G41" s="324">
        <v>1</v>
      </c>
      <c r="H41" s="325">
        <f t="shared" si="1"/>
        <v>0.80434782608695654</v>
      </c>
    </row>
    <row r="42" spans="1:8">
      <c r="A42" s="322" t="s">
        <v>1138</v>
      </c>
      <c r="B42" s="323" t="s">
        <v>1090</v>
      </c>
      <c r="C42" s="323" t="s">
        <v>1085</v>
      </c>
      <c r="D42" s="323">
        <v>6</v>
      </c>
      <c r="E42" s="323" t="s">
        <v>1086</v>
      </c>
      <c r="F42" s="323">
        <v>1036</v>
      </c>
      <c r="G42" s="324">
        <v>1</v>
      </c>
      <c r="H42" s="325">
        <f t="shared" si="1"/>
        <v>0.78260869565217395</v>
      </c>
    </row>
    <row r="43" spans="1:8">
      <c r="A43" s="322" t="s">
        <v>1139</v>
      </c>
      <c r="B43" s="323" t="s">
        <v>1087</v>
      </c>
      <c r="C43" s="323" t="s">
        <v>1085</v>
      </c>
      <c r="D43" s="323">
        <v>4</v>
      </c>
      <c r="E43" s="323" t="s">
        <v>1086</v>
      </c>
      <c r="F43" s="323">
        <v>1036</v>
      </c>
      <c r="G43" s="324">
        <v>1</v>
      </c>
      <c r="H43" s="325">
        <f t="shared" si="1"/>
        <v>0.78260869565217395</v>
      </c>
    </row>
    <row r="44" spans="1:8">
      <c r="A44" s="322" t="s">
        <v>1140</v>
      </c>
      <c r="B44" s="323" t="s">
        <v>1087</v>
      </c>
      <c r="C44" s="323" t="s">
        <v>1085</v>
      </c>
      <c r="D44" s="323">
        <v>4</v>
      </c>
      <c r="E44" s="323" t="s">
        <v>1086</v>
      </c>
      <c r="F44" s="323">
        <v>1035</v>
      </c>
      <c r="G44" s="324">
        <v>1</v>
      </c>
      <c r="H44" s="325">
        <f t="shared" si="1"/>
        <v>0.76086956521739135</v>
      </c>
    </row>
    <row r="45" spans="1:8">
      <c r="A45" s="322" t="s">
        <v>1141</v>
      </c>
      <c r="B45" s="323" t="s">
        <v>1090</v>
      </c>
      <c r="C45" s="323" t="s">
        <v>1085</v>
      </c>
      <c r="D45" s="323">
        <v>6</v>
      </c>
      <c r="E45" s="323" t="s">
        <v>1086</v>
      </c>
      <c r="F45" s="323">
        <v>1034</v>
      </c>
      <c r="G45" s="324">
        <v>0.2</v>
      </c>
      <c r="H45" s="325">
        <f t="shared" si="1"/>
        <v>0.73913043478260865</v>
      </c>
    </row>
    <row r="46" spans="1:8">
      <c r="A46" s="322" t="s">
        <v>2930</v>
      </c>
      <c r="B46" s="323" t="s">
        <v>1092</v>
      </c>
      <c r="C46" s="323" t="s">
        <v>1085</v>
      </c>
      <c r="D46" s="323">
        <v>4</v>
      </c>
      <c r="E46" s="323" t="s">
        <v>1086</v>
      </c>
      <c r="F46" s="323">
        <v>1036</v>
      </c>
      <c r="G46" s="324">
        <v>1</v>
      </c>
      <c r="H46" s="325">
        <f t="shared" si="1"/>
        <v>0.78260869565217395</v>
      </c>
    </row>
    <row r="47" spans="1:8">
      <c r="A47" s="322" t="s">
        <v>1142</v>
      </c>
      <c r="B47" s="323" t="s">
        <v>1084</v>
      </c>
      <c r="C47" s="323" t="s">
        <v>1085</v>
      </c>
      <c r="D47" s="323">
        <v>4</v>
      </c>
      <c r="E47" s="323" t="s">
        <v>1086</v>
      </c>
      <c r="F47" s="323">
        <v>1037</v>
      </c>
      <c r="G47" s="324">
        <v>1</v>
      </c>
      <c r="H47" s="325">
        <f t="shared" si="1"/>
        <v>0.80434782608695654</v>
      </c>
    </row>
    <row r="48" spans="1:8">
      <c r="A48" s="322" t="s">
        <v>1143</v>
      </c>
      <c r="B48" s="323" t="s">
        <v>1090</v>
      </c>
      <c r="C48" s="323" t="s">
        <v>1085</v>
      </c>
      <c r="D48" s="323">
        <v>2</v>
      </c>
      <c r="E48" s="323" t="s">
        <v>1086</v>
      </c>
      <c r="F48" s="323">
        <v>1036</v>
      </c>
      <c r="G48" s="324">
        <v>1</v>
      </c>
      <c r="H48" s="325">
        <f t="shared" si="1"/>
        <v>0.78260869565217395</v>
      </c>
    </row>
    <row r="49" spans="1:8">
      <c r="A49" s="322" t="s">
        <v>285</v>
      </c>
      <c r="B49" s="323" t="s">
        <v>1087</v>
      </c>
      <c r="C49" s="323" t="s">
        <v>1085</v>
      </c>
      <c r="D49" s="323">
        <v>591</v>
      </c>
      <c r="E49" s="323" t="s">
        <v>1088</v>
      </c>
      <c r="F49" s="323">
        <v>1025</v>
      </c>
      <c r="G49" s="324">
        <v>0.1</v>
      </c>
      <c r="H49" s="325">
        <f t="shared" si="1"/>
        <v>0.54347826086956519</v>
      </c>
    </row>
    <row r="50" spans="1:8">
      <c r="A50" s="322" t="s">
        <v>294</v>
      </c>
      <c r="B50" s="323" t="s">
        <v>1087</v>
      </c>
      <c r="C50" s="323" t="s">
        <v>1085</v>
      </c>
      <c r="D50" s="323">
        <v>10</v>
      </c>
      <c r="E50" s="323" t="s">
        <v>1086</v>
      </c>
      <c r="F50" s="323">
        <v>1029</v>
      </c>
      <c r="G50" s="324">
        <v>0.15</v>
      </c>
      <c r="H50" s="325">
        <f t="shared" si="1"/>
        <v>0.63043478260869568</v>
      </c>
    </row>
    <row r="51" spans="1:8">
      <c r="A51" s="322" t="s">
        <v>1146</v>
      </c>
      <c r="B51" s="323" t="s">
        <v>1087</v>
      </c>
      <c r="C51" s="323" t="s">
        <v>1178</v>
      </c>
      <c r="D51" s="323">
        <v>4</v>
      </c>
      <c r="E51" s="323" t="s">
        <v>1086</v>
      </c>
      <c r="F51" s="323">
        <v>1036</v>
      </c>
      <c r="G51" s="324">
        <v>0.1</v>
      </c>
      <c r="H51" s="325">
        <f t="shared" si="1"/>
        <v>0.78260869565217395</v>
      </c>
    </row>
    <row r="52" spans="1:8">
      <c r="A52" s="322" t="s">
        <v>300</v>
      </c>
      <c r="B52" s="323" t="s">
        <v>1084</v>
      </c>
      <c r="C52" s="323" t="s">
        <v>1085</v>
      </c>
      <c r="D52" s="323">
        <v>18</v>
      </c>
      <c r="E52" s="323" t="s">
        <v>1086</v>
      </c>
      <c r="F52" s="323">
        <v>1037</v>
      </c>
      <c r="G52" s="324">
        <v>1</v>
      </c>
      <c r="H52" s="325">
        <f t="shared" si="1"/>
        <v>0.80434782608695654</v>
      </c>
    </row>
    <row r="53" spans="1:8">
      <c r="A53" s="322" t="s">
        <v>1147</v>
      </c>
      <c r="B53" s="323" t="s">
        <v>1092</v>
      </c>
      <c r="C53" s="323" t="s">
        <v>1085</v>
      </c>
      <c r="D53" s="323">
        <v>355</v>
      </c>
      <c r="E53" s="323" t="s">
        <v>1086</v>
      </c>
      <c r="F53" s="323">
        <v>1030</v>
      </c>
      <c r="G53" s="324">
        <v>0.1</v>
      </c>
      <c r="H53" s="325">
        <f t="shared" si="1"/>
        <v>0.65217391304347827</v>
      </c>
    </row>
    <row r="54" spans="1:8">
      <c r="A54" s="322" t="s">
        <v>272</v>
      </c>
      <c r="B54" s="323" t="s">
        <v>1087</v>
      </c>
      <c r="C54" s="323" t="s">
        <v>1085</v>
      </c>
      <c r="D54" s="323">
        <v>99</v>
      </c>
      <c r="E54" s="323" t="s">
        <v>1086</v>
      </c>
      <c r="F54" s="323">
        <v>1033</v>
      </c>
      <c r="G54" s="324">
        <v>0.1</v>
      </c>
      <c r="H54" s="325">
        <f t="shared" si="1"/>
        <v>0.71739130434782605</v>
      </c>
    </row>
    <row r="55" spans="1:8">
      <c r="A55" s="322" t="s">
        <v>1149</v>
      </c>
      <c r="B55" s="323" t="s">
        <v>1090</v>
      </c>
      <c r="C55" s="323" t="s">
        <v>1085</v>
      </c>
      <c r="D55" s="323">
        <v>53</v>
      </c>
      <c r="E55" s="323" t="s">
        <v>1086</v>
      </c>
      <c r="F55" s="323">
        <v>1033</v>
      </c>
      <c r="G55" s="324">
        <v>0.1</v>
      </c>
      <c r="H55" s="325">
        <f t="shared" si="1"/>
        <v>0.71739130434782605</v>
      </c>
    </row>
    <row r="56" spans="1:8">
      <c r="A56" s="322" t="s">
        <v>1151</v>
      </c>
      <c r="B56" s="323" t="s">
        <v>1087</v>
      </c>
      <c r="C56" s="323" t="s">
        <v>1085</v>
      </c>
      <c r="D56" s="323">
        <v>49</v>
      </c>
      <c r="E56" s="323" t="s">
        <v>1086</v>
      </c>
      <c r="F56" s="323">
        <v>1034</v>
      </c>
      <c r="G56" s="324">
        <v>0.15</v>
      </c>
      <c r="H56" s="325">
        <f t="shared" si="1"/>
        <v>0.73913043478260865</v>
      </c>
    </row>
    <row r="57" spans="1:8">
      <c r="A57" s="322" t="s">
        <v>1152</v>
      </c>
      <c r="B57" s="323" t="s">
        <v>1084</v>
      </c>
      <c r="C57" s="323" t="s">
        <v>1085</v>
      </c>
      <c r="D57" s="323">
        <v>8</v>
      </c>
      <c r="E57" s="323" t="s">
        <v>1086</v>
      </c>
      <c r="F57" s="323">
        <v>1036</v>
      </c>
      <c r="G57" s="324">
        <v>0.9</v>
      </c>
      <c r="H57" s="325">
        <f t="shared" si="1"/>
        <v>0.78260869565217395</v>
      </c>
    </row>
    <row r="58" spans="1:8">
      <c r="A58" s="322" t="s">
        <v>1153</v>
      </c>
      <c r="B58" s="323" t="s">
        <v>1092</v>
      </c>
      <c r="C58" s="323" t="s">
        <v>1085</v>
      </c>
      <c r="D58" s="323">
        <v>4</v>
      </c>
      <c r="E58" s="323" t="s">
        <v>1086</v>
      </c>
      <c r="F58" s="323">
        <v>1037</v>
      </c>
      <c r="G58" s="324">
        <v>0.6</v>
      </c>
      <c r="H58" s="325">
        <f t="shared" si="1"/>
        <v>0.80434782608695654</v>
      </c>
    </row>
    <row r="59" spans="1:8">
      <c r="A59" s="322" t="s">
        <v>1154</v>
      </c>
      <c r="B59" s="323" t="s">
        <v>1084</v>
      </c>
      <c r="C59" s="323" t="s">
        <v>1085</v>
      </c>
      <c r="D59" s="323">
        <v>18</v>
      </c>
      <c r="E59" s="323" t="s">
        <v>1086</v>
      </c>
      <c r="F59" s="323">
        <v>1039</v>
      </c>
      <c r="G59" s="324">
        <v>0.2</v>
      </c>
      <c r="H59" s="325">
        <f t="shared" si="1"/>
        <v>0.84782608695652173</v>
      </c>
    </row>
    <row r="60" spans="1:8">
      <c r="A60" s="322" t="s">
        <v>1155</v>
      </c>
      <c r="B60" s="323" t="s">
        <v>1084</v>
      </c>
      <c r="C60" s="323" t="s">
        <v>1085</v>
      </c>
      <c r="D60" s="323">
        <v>4</v>
      </c>
      <c r="E60" s="323" t="s">
        <v>1086</v>
      </c>
      <c r="F60" s="323">
        <v>1039</v>
      </c>
      <c r="G60" s="324">
        <v>0.6</v>
      </c>
      <c r="H60" s="325">
        <f t="shared" si="1"/>
        <v>0.84782608695652173</v>
      </c>
    </row>
    <row r="61" spans="1:8">
      <c r="A61" s="322" t="s">
        <v>1157</v>
      </c>
      <c r="B61" s="323" t="s">
        <v>1084</v>
      </c>
      <c r="C61" s="323" t="s">
        <v>1085</v>
      </c>
      <c r="D61" s="323">
        <v>837</v>
      </c>
      <c r="E61" s="323" t="s">
        <v>1086</v>
      </c>
      <c r="F61" s="323">
        <v>1025</v>
      </c>
      <c r="G61" s="324">
        <v>0.1</v>
      </c>
      <c r="H61" s="325">
        <f t="shared" si="1"/>
        <v>0.54347826086956519</v>
      </c>
    </row>
    <row r="62" spans="1:8">
      <c r="A62" s="322" t="s">
        <v>1158</v>
      </c>
      <c r="B62" s="323" t="s">
        <v>1087</v>
      </c>
      <c r="C62" s="323" t="s">
        <v>1085</v>
      </c>
      <c r="D62" s="323">
        <v>4</v>
      </c>
      <c r="E62" s="323" t="s">
        <v>1086</v>
      </c>
      <c r="F62" s="323">
        <v>1036</v>
      </c>
      <c r="G62" s="324">
        <v>0.4</v>
      </c>
      <c r="H62" s="325">
        <f t="shared" si="1"/>
        <v>0.78260869565217395</v>
      </c>
    </row>
    <row r="63" spans="1:8">
      <c r="A63" s="322" t="s">
        <v>1159</v>
      </c>
      <c r="B63" s="323" t="s">
        <v>1087</v>
      </c>
      <c r="C63" s="323" t="s">
        <v>1085</v>
      </c>
      <c r="D63" s="323">
        <v>4</v>
      </c>
      <c r="E63" s="323" t="s">
        <v>1086</v>
      </c>
      <c r="F63" s="323">
        <v>1040</v>
      </c>
      <c r="G63" s="324">
        <v>0.6</v>
      </c>
      <c r="H63" s="325">
        <f t="shared" si="1"/>
        <v>0.86956521739130432</v>
      </c>
    </row>
    <row r="64" spans="1:8">
      <c r="A64" s="322" t="s">
        <v>1100</v>
      </c>
      <c r="B64" s="323" t="s">
        <v>1087</v>
      </c>
      <c r="C64" s="323" t="s">
        <v>1078</v>
      </c>
      <c r="D64" s="323">
        <v>99</v>
      </c>
      <c r="E64" s="323" t="s">
        <v>1088</v>
      </c>
      <c r="F64" s="323">
        <v>1046</v>
      </c>
      <c r="G64" s="324">
        <v>0.1</v>
      </c>
      <c r="H64" s="325">
        <f t="shared" si="1"/>
        <v>1</v>
      </c>
    </row>
    <row r="65" spans="1:8">
      <c r="A65" s="322" t="s">
        <v>1101</v>
      </c>
      <c r="B65" s="323" t="s">
        <v>1087</v>
      </c>
      <c r="C65" s="323" t="s">
        <v>1078</v>
      </c>
      <c r="D65" s="323">
        <v>16</v>
      </c>
      <c r="E65" s="323" t="s">
        <v>1088</v>
      </c>
      <c r="F65" s="323">
        <v>1046</v>
      </c>
      <c r="G65" s="324">
        <v>0.1</v>
      </c>
      <c r="H65" s="325">
        <f t="shared" si="1"/>
        <v>1</v>
      </c>
    </row>
    <row r="66" spans="1:8">
      <c r="A66" s="322" t="s">
        <v>1103</v>
      </c>
      <c r="B66" s="323" t="s">
        <v>1092</v>
      </c>
      <c r="C66" s="323" t="s">
        <v>1078</v>
      </c>
      <c r="D66" s="323">
        <v>148</v>
      </c>
      <c r="E66" s="323" t="s">
        <v>1088</v>
      </c>
      <c r="F66" s="323">
        <v>1036</v>
      </c>
      <c r="G66" s="324">
        <v>0.2</v>
      </c>
      <c r="H66" s="325">
        <f t="shared" ref="H66:H79" si="2">(F66-1000)/46</f>
        <v>0.78260869565217395</v>
      </c>
    </row>
    <row r="67" spans="1:8">
      <c r="A67" s="322" t="s">
        <v>1104</v>
      </c>
      <c r="B67" s="323" t="s">
        <v>1092</v>
      </c>
      <c r="C67" s="323" t="s">
        <v>1078</v>
      </c>
      <c r="D67" s="323">
        <v>2</v>
      </c>
      <c r="E67" s="323" t="s">
        <v>1088</v>
      </c>
      <c r="F67" s="323">
        <v>1036</v>
      </c>
      <c r="G67" s="324">
        <v>0.2</v>
      </c>
      <c r="H67" s="325">
        <f t="shared" si="2"/>
        <v>0.78260869565217395</v>
      </c>
    </row>
    <row r="68" spans="1:8">
      <c r="A68" s="322" t="s">
        <v>1105</v>
      </c>
      <c r="B68" s="323" t="s">
        <v>1092</v>
      </c>
      <c r="C68" s="323" t="s">
        <v>1078</v>
      </c>
      <c r="D68" s="323">
        <v>542</v>
      </c>
      <c r="E68" s="323" t="s">
        <v>1088</v>
      </c>
      <c r="F68" s="323">
        <v>1036</v>
      </c>
      <c r="G68" s="324">
        <v>0.2</v>
      </c>
      <c r="H68" s="325">
        <f t="shared" si="2"/>
        <v>0.78260869565217395</v>
      </c>
    </row>
    <row r="69" spans="1:8">
      <c r="A69" s="322" t="s">
        <v>1106</v>
      </c>
      <c r="B69" s="323" t="s">
        <v>1087</v>
      </c>
      <c r="C69" s="323" t="s">
        <v>1078</v>
      </c>
      <c r="D69" s="323">
        <v>0</v>
      </c>
      <c r="E69" s="323" t="s">
        <v>1088</v>
      </c>
      <c r="F69" s="323">
        <v>1046</v>
      </c>
      <c r="G69" s="324">
        <v>7.0000000000000007E-2</v>
      </c>
      <c r="H69" s="325">
        <f t="shared" si="2"/>
        <v>1</v>
      </c>
    </row>
    <row r="70" spans="1:8">
      <c r="A70" s="322" t="s">
        <v>1121</v>
      </c>
      <c r="B70" s="323" t="s">
        <v>1087</v>
      </c>
      <c r="C70" s="323" t="s">
        <v>1078</v>
      </c>
      <c r="D70" s="323">
        <v>0</v>
      </c>
      <c r="E70" s="323" t="s">
        <v>1088</v>
      </c>
      <c r="F70" s="323">
        <v>1046</v>
      </c>
      <c r="G70" s="324">
        <v>0.05</v>
      </c>
      <c r="H70" s="325">
        <f t="shared" si="2"/>
        <v>1</v>
      </c>
    </row>
    <row r="71" spans="1:8">
      <c r="A71" s="322" t="s">
        <v>1122</v>
      </c>
      <c r="B71" s="323" t="s">
        <v>1087</v>
      </c>
      <c r="C71" s="323" t="s">
        <v>1078</v>
      </c>
      <c r="D71" s="323">
        <v>2</v>
      </c>
      <c r="E71" s="323" t="s">
        <v>1088</v>
      </c>
      <c r="F71" s="323">
        <v>1036</v>
      </c>
      <c r="G71" s="324">
        <v>0.1</v>
      </c>
      <c r="H71" s="325">
        <f t="shared" si="2"/>
        <v>0.78260869565217395</v>
      </c>
    </row>
    <row r="72" spans="1:8">
      <c r="A72" s="322" t="s">
        <v>1124</v>
      </c>
      <c r="B72" s="323" t="s">
        <v>1090</v>
      </c>
      <c r="C72" s="323" t="s">
        <v>1078</v>
      </c>
      <c r="D72" s="323">
        <v>4</v>
      </c>
      <c r="E72" s="323" t="s">
        <v>1088</v>
      </c>
      <c r="F72" s="323">
        <v>1046</v>
      </c>
      <c r="G72" s="324">
        <v>0.1</v>
      </c>
      <c r="H72" s="325">
        <f t="shared" si="2"/>
        <v>1</v>
      </c>
    </row>
    <row r="73" spans="1:8" s="126" customFormat="1">
      <c r="A73" s="322" t="s">
        <v>2943</v>
      </c>
      <c r="B73" s="323"/>
      <c r="C73" s="323" t="s">
        <v>1078</v>
      </c>
      <c r="D73" s="323">
        <v>0</v>
      </c>
      <c r="E73" s="323" t="s">
        <v>1088</v>
      </c>
      <c r="F73" s="323">
        <v>1035</v>
      </c>
      <c r="G73" s="324">
        <v>0.1</v>
      </c>
      <c r="H73" s="325">
        <f t="shared" si="2"/>
        <v>0.76086956521739135</v>
      </c>
    </row>
    <row r="74" spans="1:8">
      <c r="A74" s="322" t="s">
        <v>1126</v>
      </c>
      <c r="B74" s="323" t="s">
        <v>1090</v>
      </c>
      <c r="C74" s="323" t="s">
        <v>1078</v>
      </c>
      <c r="D74" s="323">
        <v>0</v>
      </c>
      <c r="E74" s="323" t="s">
        <v>1088</v>
      </c>
      <c r="F74" s="323">
        <v>1046</v>
      </c>
      <c r="G74" s="324">
        <v>0.1</v>
      </c>
      <c r="H74" s="325">
        <f t="shared" si="2"/>
        <v>1</v>
      </c>
    </row>
    <row r="75" spans="1:8">
      <c r="A75" s="322" t="s">
        <v>1127</v>
      </c>
      <c r="B75" s="323" t="s">
        <v>1087</v>
      </c>
      <c r="C75" s="323" t="s">
        <v>1078</v>
      </c>
      <c r="D75" s="323">
        <v>69</v>
      </c>
      <c r="E75" s="323" t="s">
        <v>1088</v>
      </c>
      <c r="F75" s="323">
        <v>1030</v>
      </c>
      <c r="G75" s="324">
        <v>0.1</v>
      </c>
      <c r="H75" s="325">
        <f t="shared" si="2"/>
        <v>0.65217391304347827</v>
      </c>
    </row>
    <row r="76" spans="1:8">
      <c r="A76" s="322" t="s">
        <v>1130</v>
      </c>
      <c r="B76" s="323" t="s">
        <v>1087</v>
      </c>
      <c r="C76" s="323" t="s">
        <v>1078</v>
      </c>
      <c r="D76" s="323">
        <v>0</v>
      </c>
      <c r="E76" s="323" t="s">
        <v>1088</v>
      </c>
      <c r="F76" s="323">
        <v>1035</v>
      </c>
      <c r="G76" s="324">
        <v>0.1</v>
      </c>
      <c r="H76" s="325">
        <f t="shared" si="2"/>
        <v>0.76086956521739135</v>
      </c>
    </row>
    <row r="77" spans="1:8">
      <c r="A77" s="322" t="s">
        <v>1131</v>
      </c>
      <c r="B77" s="323" t="s">
        <v>1087</v>
      </c>
      <c r="C77" s="323" t="s">
        <v>1078</v>
      </c>
      <c r="D77" s="323">
        <v>158</v>
      </c>
      <c r="E77" s="323" t="s">
        <v>1088</v>
      </c>
      <c r="F77" s="323">
        <v>1036</v>
      </c>
      <c r="G77" s="324">
        <v>0.05</v>
      </c>
      <c r="H77" s="325">
        <f t="shared" si="2"/>
        <v>0.78260869565217395</v>
      </c>
    </row>
    <row r="78" spans="1:8">
      <c r="A78" s="322" t="s">
        <v>1148</v>
      </c>
      <c r="B78" s="323" t="s">
        <v>1087</v>
      </c>
      <c r="C78" s="323" t="s">
        <v>1078</v>
      </c>
      <c r="D78" s="323">
        <v>2</v>
      </c>
      <c r="E78" s="323" t="s">
        <v>1088</v>
      </c>
      <c r="F78" s="323">
        <v>1046</v>
      </c>
      <c r="G78" s="324">
        <v>0.1</v>
      </c>
      <c r="H78" s="325">
        <f t="shared" si="2"/>
        <v>1</v>
      </c>
    </row>
    <row r="79" spans="1:8">
      <c r="A79" s="322" t="s">
        <v>1150</v>
      </c>
      <c r="B79" s="323" t="s">
        <v>1090</v>
      </c>
      <c r="C79" s="323" t="s">
        <v>1078</v>
      </c>
      <c r="D79" s="323">
        <v>20</v>
      </c>
      <c r="E79" s="323" t="s">
        <v>1088</v>
      </c>
      <c r="F79" s="323">
        <v>1044</v>
      </c>
      <c r="G79" s="324">
        <v>0.1</v>
      </c>
      <c r="H79" s="325">
        <f t="shared" si="2"/>
        <v>0.95652173913043481</v>
      </c>
    </row>
  </sheetData>
  <sortState xmlns:xlrd2="http://schemas.microsoft.com/office/spreadsheetml/2017/richdata2" ref="A2:H79">
    <sortCondition ref="C2:C79"/>
  </sortState>
  <hyperlinks>
    <hyperlink ref="A10" r:id="rId1" display="http://www.beersmith.com/Grains/Grains/grain_0.htm" xr:uid="{B783F637-F158-8D4B-96BA-897B4013AAB8}"/>
    <hyperlink ref="A11" r:id="rId2" display="http://www.beersmith.com/Grains/Grains/grain_3.htm" xr:uid="{B9D14EC9-92C4-9B45-B346-E8530397EC0C}"/>
    <hyperlink ref="A12" r:id="rId3" display="http://www.beersmith.com/Grains/Grains/grain_4.htm" xr:uid="{7763C20A-F2FD-9649-A771-57B60AF54589}"/>
    <hyperlink ref="A2" r:id="rId4" display="http://www.beersmith.com/Grains/Grains/grain_5.htm" xr:uid="{9937F44E-04E7-DA46-9745-F1F92A41FB55}"/>
    <hyperlink ref="A5" r:id="rId5" display="http://www.beersmith.com/Grains/Grains/grain_6.htm" xr:uid="{9F01A365-7196-A946-81A8-D4E5293FA33F}"/>
    <hyperlink ref="A13" r:id="rId6" display="http://www.beersmith.com/Grains/Grains/grain_7.htm" xr:uid="{6FA93F96-391A-334A-85CA-B96C299E7024}"/>
    <hyperlink ref="A14" r:id="rId7" display="http://www.beersmith.com/Grains/Grains/grain_8.htm" xr:uid="{077C08E2-71B4-F944-8ABA-222AEBE7B002}"/>
    <hyperlink ref="A15" r:id="rId8" display="http://www.beersmith.com/Grains/Grains/grain_9.htm" xr:uid="{0329393E-05E6-CC43-B34B-6E37EDC8AF5D}"/>
    <hyperlink ref="A16" r:id="rId9" display="http://www.beersmith.com/Grains/Grains/grain_10.htm" xr:uid="{09F53233-7BD7-E441-9E50-483EFE8E46C1}"/>
    <hyperlink ref="A17" r:id="rId10" display="http://www.beersmith.com/Grains/Grains/grain_11.htm" xr:uid="{E9BCF7F3-6403-CB41-8C3B-02C7ACCFD718}"/>
    <hyperlink ref="A18" r:id="rId11" display="http://www.beersmith.com/Grains/Grains/grain_12.htm" xr:uid="{E953CB00-3CE4-C74B-BA63-CA381C680AF4}"/>
    <hyperlink ref="A64" r:id="rId12" display="http://www.beersmith.com/Grains/Grains/grain_13.htm" xr:uid="{F49EC084-CA9D-9441-96DB-A4FA91E74A17}"/>
    <hyperlink ref="A65" r:id="rId13" display="http://www.beersmith.com/Grains/Grains/grain_14.htm" xr:uid="{FF3F1F0C-8044-5D4D-BDBB-1FC747366AEB}"/>
    <hyperlink ref="A19" r:id="rId14" display="http://www.beersmith.com/Grains/Grains/grain_15.htm" xr:uid="{7EEB4928-BEF6-C34D-B8BF-F3ADAFB254FF}"/>
    <hyperlink ref="A66" r:id="rId15" display="http://www.beersmith.com/Grains/Grains/grain_16.htm" xr:uid="{BE3894FB-1452-5042-AEE7-937BF428107A}"/>
    <hyperlink ref="A67" r:id="rId16" display="http://www.beersmith.com/Grains/Grains/grain_17.htm" xr:uid="{4DA9DFA3-2DCF-1C4C-A7FF-3094A4506E41}"/>
    <hyperlink ref="A68" r:id="rId17" display="http://www.beersmith.com/Grains/Grains/grain_18.htm" xr:uid="{2BCA7F36-7EBB-9445-BF6B-5F0EA6863C21}"/>
    <hyperlink ref="A69" r:id="rId18" display="http://www.beersmith.com/Grains/Grains/grain_19.htm" xr:uid="{6D19DE52-D28A-9646-AABA-E61F3E97C9CB}"/>
    <hyperlink ref="A20" r:id="rId19" display="http://www.beersmith.com/Grains/Grains/grain_20.htm" xr:uid="{DE7650A1-6F3F-3741-A85D-2BC20A9077B5}"/>
    <hyperlink ref="A21" r:id="rId20" display="http://www.beersmith.com/Grains/Grains/grain_21.htm" xr:uid="{99AEE4FB-7711-0E41-A3F9-DD56760120D0}"/>
    <hyperlink ref="A22" r:id="rId21" display="http://www.beersmith.com/Grains/Grains/grain_22.htm" xr:uid="{6E39F20A-ABDF-584C-ADEC-7267A2F47386}"/>
    <hyperlink ref="A23" r:id="rId22" display="http://www.beersmith.com/Grains/Grains/grain_23.htm" xr:uid="{71474804-C6B4-D849-BB7C-6602FB8C2D93}"/>
    <hyperlink ref="A24" r:id="rId23" display="http://www.beersmith.com/Grains/Grains/grain_24.htm" xr:uid="{E9897CB8-E353-764D-8437-F8DB330A786F}"/>
    <hyperlink ref="A25" r:id="rId24" display="http://www.beersmith.com/Grains/Grains/grain_25.htm" xr:uid="{C1D07FB7-DEE8-E44F-B6ED-B1BE670B61D1}"/>
    <hyperlink ref="A26" r:id="rId25" display="http://www.beersmith.com/Grains/Grains/grain_26.htm" xr:uid="{7704B082-D746-0D47-B790-98EDB2E0DD91}"/>
    <hyperlink ref="A27" r:id="rId26" display="http://www.beersmith.com/Grains/Grains/grain_27.htm" xr:uid="{16E96887-F61D-1C4E-A697-5B52FF229615}"/>
    <hyperlink ref="A28" r:id="rId27" display="http://www.beersmith.com/Grains/Grains/grain_28.htm" xr:uid="{038B705B-0423-B446-A5C1-B28AF8EB215A}"/>
    <hyperlink ref="A29" r:id="rId28" display="http://www.beersmith.com/Grains/Grains/grain_29.htm" xr:uid="{85D902CB-0C3D-5341-BE23-79865FCEB181}"/>
    <hyperlink ref="A30" r:id="rId29" display="http://www.beersmith.com/Grains/Grains/grain_30.htm" xr:uid="{3A06F806-0B98-5145-AA09-A100021C0D21}"/>
    <hyperlink ref="A31" r:id="rId30" display="http://www.beersmith.com/Grains/Grains/grain_31.htm" xr:uid="{CDAAB7D0-7744-F646-9E8E-0285E938A493}"/>
    <hyperlink ref="A32" r:id="rId31" display="http://www.beersmith.com/Grains/Grains/grain_32.htm" xr:uid="{9EEDFBAD-723F-2248-B0A1-F14A6715AFB8}"/>
    <hyperlink ref="A33" r:id="rId32" display="http://www.beersmith.com/Grains/Grains/grain_34.htm" xr:uid="{96058919-9006-FF43-89C5-E423DD53CFDB}"/>
    <hyperlink ref="A70" r:id="rId33" display="http://www.beersmith.com/Grains/Grains/grain_35.htm" xr:uid="{54C9FC2F-3F5D-184E-A7DD-43E6B057701F}"/>
    <hyperlink ref="A71" r:id="rId34" display="http://www.beersmith.com/Grains/Grains/grain_36.htm" xr:uid="{769B33C8-EF27-4946-8A79-3BE58D9CD1CD}"/>
    <hyperlink ref="A6" r:id="rId35" display="http://www.beersmith.com/Grains/Grains/grain_37.htm" xr:uid="{90E1484F-87A0-8444-AC02-582A4B9D6A0D}"/>
    <hyperlink ref="A72" r:id="rId36" display="http://www.beersmith.com/Grains/Grains/grain_40.htm" xr:uid="{B9A34CE9-D284-9541-BC63-B1DB9E1812CE}"/>
    <hyperlink ref="A3" r:id="rId37" display="http://www.beersmith.com/Grains/Grains/grain_42.htm" xr:uid="{B155BBBB-BBDA-4D4C-B665-0F9F1FB46244}"/>
    <hyperlink ref="A74" r:id="rId38" display="http://www.beersmith.com/Grains/Grains/grain_44.htm" xr:uid="{6C59F9EE-D9D1-4746-B23A-5C9C16A91546}"/>
    <hyperlink ref="A75" r:id="rId39" display="http://www.beersmith.com/Grains/Grains/grain_46.htm" xr:uid="{07305E2C-7934-9E40-A024-51F158E3A76A}"/>
    <hyperlink ref="A34" r:id="rId40" display="http://www.beersmith.com/Grains/Grains/grain_47.htm" xr:uid="{81256AAC-773B-6648-BB75-AA4B5E8C4F49}"/>
    <hyperlink ref="A35" r:id="rId41" display="http://www.beersmith.com/Grains/Grains/grain_48.htm" xr:uid="{D59EAD20-DABE-6F4C-80D9-BFD9399D63FB}"/>
    <hyperlink ref="A76" r:id="rId42" display="http://www.beersmith.com/Grains/Grains/grain_49.htm" xr:uid="{612F3C03-2E1B-2046-A100-2D5C9AD3E0B5}"/>
    <hyperlink ref="A77" r:id="rId43" display="http://www.beersmith.com/Grains/Grains/grain_50.htm" xr:uid="{28D34186-1743-3946-AC77-AF79E4D7B976}"/>
    <hyperlink ref="A36" r:id="rId44" display="http://www.beersmith.com/Grains/Grains/grain_51.htm" xr:uid="{71922144-B079-4040-8B73-8FF675C8F40F}"/>
    <hyperlink ref="A37" r:id="rId45" display="http://www.beersmith.com/Grains/Grains/grain_52.htm" xr:uid="{343A7907-0A46-3A4E-92CC-62FB4876A1A5}"/>
    <hyperlink ref="A38" r:id="rId46" display="http://www.beersmith.com/Grains/Grains/grain_53.htm" xr:uid="{3A7A6CB4-2C10-464A-873E-484DE0B425B1}"/>
    <hyperlink ref="A7" r:id="rId47" display="http://www.beersmith.com/Grains/Grains/grain_54.htm" xr:uid="{AAB7C8DC-EE3F-C14D-BF07-9AC02F10F578}"/>
    <hyperlink ref="A39" r:id="rId48" display="http://www.beersmith.com/Grains/Grains/grain_55.htm" xr:uid="{7B70840E-95B9-D243-A21A-D20C0C8799D3}"/>
    <hyperlink ref="A41" r:id="rId49" display="http://www.beersmith.com/Grains/Grains/grain_57.htm" xr:uid="{6F982D1F-8228-0C45-A37D-8C1FDE51F609}"/>
    <hyperlink ref="A42" r:id="rId50" display="http://www.beersmith.com/Grains/Grains/grain_58.htm" xr:uid="{851BB5CB-B5E8-E04F-A302-DBB8E97B6953}"/>
    <hyperlink ref="A43" r:id="rId51" display="http://www.beersmith.com/Grains/Grains/grain_59.htm" xr:uid="{7EF6D748-43B6-C440-A6F6-A479234BD27A}"/>
    <hyperlink ref="A44" r:id="rId52" display="http://www.beersmith.com/Grains/Grains/grain_60.htm" xr:uid="{67380855-EF67-FF40-9F92-F044A5C6DAC1}"/>
    <hyperlink ref="A45" r:id="rId53" display="http://www.beersmith.com/Grains/Grains/grain_61.htm" xr:uid="{377C19FB-0684-5849-9B6B-9898F8EF18AA}"/>
    <hyperlink ref="A46" r:id="rId54" display="http://www.beersmith.com/Grains/Grains/grain_62.htm" xr:uid="{79469F76-B0A1-FC4B-8F93-F8B5E08FEDD8}"/>
    <hyperlink ref="A47" r:id="rId55" display="http://www.beersmith.com/Grains/Grains/grain_63.htm" xr:uid="{0EAB22AB-1261-EB4A-AC84-DAE44D98ADD0}"/>
    <hyperlink ref="A48" r:id="rId56" display="http://www.beersmith.com/Grains/Grains/grain_64.htm" xr:uid="{18D6C138-EAC7-5246-A040-CE2753226627}"/>
    <hyperlink ref="A4" r:id="rId57" display="http://www.beersmith.com/Grains/Grains/grain_67.htm" xr:uid="{C715AB22-5F60-BC46-983C-D0035D41A626}"/>
    <hyperlink ref="A8" r:id="rId58" display="http://www.beersmith.com/Grains/Grains/grain_68.htm" xr:uid="{1754E2D4-ABF9-A043-B6BC-946A8DB755B1}"/>
    <hyperlink ref="A49" r:id="rId59" display="http://www.beersmith.com/Grains/Grains/grain_69.htm" xr:uid="{A01D1C2D-CD4B-A146-B0FD-958B1902AA31}"/>
    <hyperlink ref="A50" r:id="rId60" display="http://www.beersmith.com/Grains/Grains/grain_70.htm" xr:uid="{DB57C5EA-76BC-8643-8CC7-883CE71C8765}"/>
    <hyperlink ref="A51" r:id="rId61" display="http://www.beersmith.com/Grains/Grains/grain_71.htm" xr:uid="{FD7A5004-B02F-C042-82EF-164967B6259C}"/>
    <hyperlink ref="A52" r:id="rId62" display="http://www.beersmith.com/Grains/Grains/grain_72.htm" xr:uid="{9C0D87A6-7754-9B41-9722-CD94CEB997A1}"/>
    <hyperlink ref="A53" r:id="rId63" display="http://www.beersmith.com/Grains/Grains/grain_73.htm" xr:uid="{8409F8C8-6F65-3B48-92FF-5487EE47D960}"/>
    <hyperlink ref="A54" r:id="rId64" display="http://www.beersmith.com/Grains/Grains/grain_74.htm" xr:uid="{2B786E42-094E-7E47-BF7E-CAA0E5B224B9}"/>
    <hyperlink ref="A78" r:id="rId65" display="http://www.beersmith.com/Grains/Grains/grain_75.htm" xr:uid="{D8C0BC48-6754-EB47-B341-36AE4AC857C9}"/>
    <hyperlink ref="A55" r:id="rId66" display="http://www.beersmith.com/Grains/Grains/grain_76.htm" xr:uid="{53F21DF4-3125-4348-B6A1-20BAFC186253}"/>
    <hyperlink ref="A79" r:id="rId67" display="http://www.beersmith.com/Grains/Grains/grain_77.htm" xr:uid="{886882ED-1FDE-AD4E-97BA-100FD210689D}"/>
    <hyperlink ref="A56" r:id="rId68" display="http://www.beersmith.com/Grains/Grains/grain_78.htm" xr:uid="{640E5EC0-457E-5746-B4CC-0C65DC1E1AE0}"/>
    <hyperlink ref="A57" r:id="rId69" display="http://www.beersmith.com/Grains/Grains/grain_79.htm" xr:uid="{2B4BEAF8-A961-2747-90D3-8E75151A19F6}"/>
    <hyperlink ref="A58" r:id="rId70" display="http://www.beersmith.com/Grains/Grains/grain_82.htm" xr:uid="{378EC446-B26E-3A49-8C6A-10C35DAD8969}"/>
    <hyperlink ref="A59" r:id="rId71" display="http://www.beersmith.com/Grains/Grains/grain_83.htm" xr:uid="{E4F62B79-7374-6C41-8BB9-E61381BB91AE}"/>
    <hyperlink ref="A60" r:id="rId72" display="http://www.beersmith.com/Grains/Grains/grain_84.htm" xr:uid="{953F5E5F-61CA-B74F-A743-5FA68C6B554E}"/>
    <hyperlink ref="A9" r:id="rId73" display="http://www.beersmith.com/Grains/Grains/grain_85.htm" xr:uid="{7D6DFC10-D3B9-9246-8FDC-3EC77C280202}"/>
    <hyperlink ref="A61" r:id="rId74" display="http://www.beersmith.com/Grains/Grains/grain_86.htm" xr:uid="{37827F9B-873B-4A44-970F-04DF37FCCA7E}"/>
    <hyperlink ref="A62" r:id="rId75" display="http://www.beersmith.com/Grains/Grains/grain_87.htm" xr:uid="{457A9F26-BCE4-904E-A568-CCD9325FD2A9}"/>
    <hyperlink ref="A63" r:id="rId76" display="http://www.beersmith.com/Grains/Grains/grain_88.htm" xr:uid="{0C8027DB-8025-244F-9255-371149C4B2F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FB154-292D-B94B-A4F9-0A41DC725EA8}">
  <sheetPr codeName="Feuil12"/>
  <dimension ref="A1:J3854"/>
  <sheetViews>
    <sheetView zoomScaleNormal="100" workbookViewId="0"/>
  </sheetViews>
  <sheetFormatPr baseColWidth="10" defaultRowHeight="16"/>
  <cols>
    <col min="1" max="1" width="44.1640625" style="474" customWidth="1"/>
    <col min="2" max="2" width="14" bestFit="1" customWidth="1"/>
    <col min="3" max="3" width="15.6640625" bestFit="1" customWidth="1"/>
    <col min="4" max="4" width="14.83203125" bestFit="1" customWidth="1"/>
    <col min="5" max="5" width="16" bestFit="1" customWidth="1"/>
  </cols>
  <sheetData>
    <row r="1" spans="1:10">
      <c r="A1" s="322" t="s">
        <v>1200</v>
      </c>
    </row>
    <row r="2" spans="1:10">
      <c r="A2" s="394"/>
    </row>
    <row r="3" spans="1:10">
      <c r="A3" s="472" t="s">
        <v>1079</v>
      </c>
      <c r="B3" s="394" t="s">
        <v>1715</v>
      </c>
      <c r="C3" t="s">
        <v>1073</v>
      </c>
      <c r="D3" t="s">
        <v>1199</v>
      </c>
      <c r="E3" t="s">
        <v>1075</v>
      </c>
      <c r="F3" t="s">
        <v>25</v>
      </c>
      <c r="G3" t="s">
        <v>2875</v>
      </c>
      <c r="H3" t="s">
        <v>2876</v>
      </c>
      <c r="I3" t="s">
        <v>2879</v>
      </c>
    </row>
    <row r="4" spans="1:10">
      <c r="A4" s="472" t="s">
        <v>400</v>
      </c>
      <c r="B4" t="s">
        <v>2880</v>
      </c>
      <c r="C4" s="472" t="s">
        <v>2881</v>
      </c>
      <c r="D4" s="472" t="s">
        <v>2882</v>
      </c>
      <c r="E4" s="472" t="s">
        <v>2883</v>
      </c>
      <c r="F4" s="473" t="s">
        <v>2884</v>
      </c>
      <c r="G4" s="472" t="s">
        <v>2874</v>
      </c>
      <c r="H4" s="472" t="s">
        <v>2885</v>
      </c>
      <c r="I4" s="475" t="s">
        <v>2877</v>
      </c>
      <c r="J4" t="s">
        <v>2878</v>
      </c>
    </row>
    <row r="6" spans="1:10">
      <c r="A6" s="472"/>
    </row>
    <row r="7" spans="1:10">
      <c r="A7" s="472"/>
    </row>
    <row r="8" spans="1:10">
      <c r="A8" s="472"/>
    </row>
    <row r="9" spans="1:10">
      <c r="A9" s="472"/>
    </row>
    <row r="10" spans="1:10">
      <c r="A10" s="472"/>
    </row>
    <row r="11" spans="1:10">
      <c r="A11" s="26"/>
    </row>
    <row r="12" spans="1:10">
      <c r="A12" s="26"/>
    </row>
    <row r="15" spans="1:10">
      <c r="A15" s="394"/>
    </row>
    <row r="22" spans="1:1">
      <c r="A22" s="473"/>
    </row>
    <row r="23" spans="1:1">
      <c r="A23" s="473" t="s">
        <v>1720</v>
      </c>
    </row>
    <row r="24" spans="1:1">
      <c r="A24" s="394" t="s">
        <v>1182</v>
      </c>
    </row>
    <row r="25" spans="1:1">
      <c r="A25" s="471" t="s">
        <v>1183</v>
      </c>
    </row>
    <row r="26" spans="1:1">
      <c r="A26" s="471" t="s">
        <v>1184</v>
      </c>
    </row>
    <row r="27" spans="1:1">
      <c r="A27" s="471" t="s">
        <v>1185</v>
      </c>
    </row>
    <row r="28" spans="1:1">
      <c r="A28" s="394" t="s">
        <v>1186</v>
      </c>
    </row>
    <row r="29" spans="1:1">
      <c r="A29" s="473" t="s">
        <v>1721</v>
      </c>
    </row>
    <row r="30" spans="1:1">
      <c r="A30" s="473" t="s">
        <v>1722</v>
      </c>
    </row>
    <row r="31" spans="1:1">
      <c r="A31" s="473" t="s">
        <v>1723</v>
      </c>
    </row>
    <row r="32" spans="1:1">
      <c r="A32" s="473" t="s">
        <v>1724</v>
      </c>
    </row>
    <row r="33" spans="1:1">
      <c r="A33" s="473" t="s">
        <v>1725</v>
      </c>
    </row>
    <row r="35" spans="1:1">
      <c r="A35" s="395" t="s">
        <v>1187</v>
      </c>
    </row>
    <row r="36" spans="1:1">
      <c r="A36" s="473" t="s">
        <v>1726</v>
      </c>
    </row>
    <row r="37" spans="1:1">
      <c r="A37" s="473" t="s">
        <v>1727</v>
      </c>
    </row>
    <row r="38" spans="1:1">
      <c r="A38" s="473" t="s">
        <v>1728</v>
      </c>
    </row>
    <row r="39" spans="1:1">
      <c r="A39" s="473" t="s">
        <v>1729</v>
      </c>
    </row>
    <row r="40" spans="1:1">
      <c r="A40" s="473" t="s">
        <v>1730</v>
      </c>
    </row>
    <row r="41" spans="1:1">
      <c r="A41" s="473" t="s">
        <v>1731</v>
      </c>
    </row>
    <row r="42" spans="1:1">
      <c r="A42" s="473" t="s">
        <v>1732</v>
      </c>
    </row>
    <row r="43" spans="1:1">
      <c r="A43" s="473" t="s">
        <v>1733</v>
      </c>
    </row>
    <row r="44" spans="1:1">
      <c r="A44" s="473" t="s">
        <v>1734</v>
      </c>
    </row>
    <row r="45" spans="1:1">
      <c r="A45" s="473" t="s">
        <v>1735</v>
      </c>
    </row>
    <row r="46" spans="1:1">
      <c r="A46" s="473" t="s">
        <v>1736</v>
      </c>
    </row>
    <row r="47" spans="1:1">
      <c r="A47" s="473" t="s">
        <v>1737</v>
      </c>
    </row>
    <row r="48" spans="1:1">
      <c r="A48" s="473" t="s">
        <v>1738</v>
      </c>
    </row>
    <row r="50" spans="1:1">
      <c r="A50" s="395" t="s">
        <v>1188</v>
      </c>
    </row>
    <row r="51" spans="1:1">
      <c r="A51" s="473" t="s">
        <v>1739</v>
      </c>
    </row>
    <row r="52" spans="1:1">
      <c r="A52" s="473" t="s">
        <v>1740</v>
      </c>
    </row>
    <row r="53" spans="1:1">
      <c r="A53" s="473" t="s">
        <v>1741</v>
      </c>
    </row>
    <row r="55" spans="1:1">
      <c r="A55" s="472" t="s">
        <v>401</v>
      </c>
    </row>
    <row r="56" spans="1:1">
      <c r="A56" s="394" t="s">
        <v>1180</v>
      </c>
    </row>
    <row r="57" spans="1:1">
      <c r="A57" s="472" t="s">
        <v>1201</v>
      </c>
    </row>
    <row r="58" spans="1:1">
      <c r="A58" s="472" t="s">
        <v>1202</v>
      </c>
    </row>
    <row r="59" spans="1:1">
      <c r="A59" s="472" t="s">
        <v>1203</v>
      </c>
    </row>
    <row r="60" spans="1:1">
      <c r="A60" s="472" t="s">
        <v>1204</v>
      </c>
    </row>
    <row r="61" spans="1:1">
      <c r="A61" s="472" t="s">
        <v>1205</v>
      </c>
    </row>
    <row r="62" spans="1:1">
      <c r="A62" s="472" t="s">
        <v>401</v>
      </c>
    </row>
    <row r="63" spans="1:1">
      <c r="A63" s="471" t="s">
        <v>1206</v>
      </c>
    </row>
    <row r="66" spans="1:1">
      <c r="A66" s="394" t="s">
        <v>1181</v>
      </c>
    </row>
    <row r="67" spans="1:1">
      <c r="A67" s="473" t="s">
        <v>1742</v>
      </c>
    </row>
    <row r="68" spans="1:1">
      <c r="A68" s="473" t="s">
        <v>1743</v>
      </c>
    </row>
    <row r="69" spans="1:1">
      <c r="A69" s="473" t="s">
        <v>1744</v>
      </c>
    </row>
    <row r="70" spans="1:1">
      <c r="A70" s="473" t="s">
        <v>1745</v>
      </c>
    </row>
    <row r="71" spans="1:1">
      <c r="A71" s="473" t="s">
        <v>1746</v>
      </c>
    </row>
    <row r="72" spans="1:1">
      <c r="A72" s="473" t="s">
        <v>1747</v>
      </c>
    </row>
    <row r="73" spans="1:1">
      <c r="A73" s="473" t="s">
        <v>1719</v>
      </c>
    </row>
    <row r="74" spans="1:1">
      <c r="A74" s="473" t="s">
        <v>1748</v>
      </c>
    </row>
    <row r="75" spans="1:1">
      <c r="A75" s="394" t="s">
        <v>1182</v>
      </c>
    </row>
    <row r="76" spans="1:1">
      <c r="A76" s="471" t="s">
        <v>1207</v>
      </c>
    </row>
    <row r="77" spans="1:1">
      <c r="A77" s="471" t="s">
        <v>1208</v>
      </c>
    </row>
    <row r="78" spans="1:1">
      <c r="A78" s="471" t="s">
        <v>1209</v>
      </c>
    </row>
    <row r="79" spans="1:1">
      <c r="A79" s="394" t="s">
        <v>1186</v>
      </c>
    </row>
    <row r="80" spans="1:1">
      <c r="A80" s="473" t="s">
        <v>1749</v>
      </c>
    </row>
    <row r="81" spans="1:1">
      <c r="A81" s="473" t="s">
        <v>1722</v>
      </c>
    </row>
    <row r="82" spans="1:1">
      <c r="A82" s="473" t="s">
        <v>1723</v>
      </c>
    </row>
    <row r="83" spans="1:1">
      <c r="A83" s="473" t="s">
        <v>1750</v>
      </c>
    </row>
    <row r="84" spans="1:1">
      <c r="A84" s="473" t="s">
        <v>1751</v>
      </c>
    </row>
    <row r="85" spans="1:1">
      <c r="A85" s="473" t="s">
        <v>1725</v>
      </c>
    </row>
    <row r="87" spans="1:1">
      <c r="A87" s="395" t="s">
        <v>1187</v>
      </c>
    </row>
    <row r="88" spans="1:1">
      <c r="A88" s="473" t="s">
        <v>1752</v>
      </c>
    </row>
    <row r="89" spans="1:1">
      <c r="A89" s="473" t="s">
        <v>1753</v>
      </c>
    </row>
    <row r="90" spans="1:1">
      <c r="A90" s="473" t="s">
        <v>1754</v>
      </c>
    </row>
    <row r="91" spans="1:1">
      <c r="A91" s="473" t="s">
        <v>1729</v>
      </c>
    </row>
    <row r="92" spans="1:1">
      <c r="A92" s="473" t="s">
        <v>1755</v>
      </c>
    </row>
    <row r="93" spans="1:1">
      <c r="A93" s="473" t="s">
        <v>1756</v>
      </c>
    </row>
    <row r="94" spans="1:1">
      <c r="A94" s="473" t="s">
        <v>1757</v>
      </c>
    </row>
    <row r="95" spans="1:1">
      <c r="A95" s="473" t="s">
        <v>1758</v>
      </c>
    </row>
    <row r="96" spans="1:1">
      <c r="A96" s="473" t="s">
        <v>1759</v>
      </c>
    </row>
    <row r="97" spans="1:1">
      <c r="A97" s="473" t="s">
        <v>1735</v>
      </c>
    </row>
    <row r="98" spans="1:1">
      <c r="A98" s="473" t="s">
        <v>1736</v>
      </c>
    </row>
    <row r="99" spans="1:1">
      <c r="A99" s="473" t="s">
        <v>1737</v>
      </c>
    </row>
    <row r="100" spans="1:1">
      <c r="A100" s="473" t="s">
        <v>1760</v>
      </c>
    </row>
    <row r="102" spans="1:1">
      <c r="A102" s="395" t="s">
        <v>1188</v>
      </c>
    </row>
    <row r="103" spans="1:1">
      <c r="A103" s="473" t="s">
        <v>1739</v>
      </c>
    </row>
    <row r="104" spans="1:1">
      <c r="A104" s="473" t="s">
        <v>1740</v>
      </c>
    </row>
    <row r="105" spans="1:1">
      <c r="A105" s="473" t="s">
        <v>1761</v>
      </c>
    </row>
    <row r="107" spans="1:1">
      <c r="A107" s="472" t="s">
        <v>396</v>
      </c>
    </row>
    <row r="108" spans="1:1">
      <c r="A108" s="394" t="s">
        <v>1180</v>
      </c>
    </row>
    <row r="109" spans="1:1">
      <c r="A109" s="472" t="s">
        <v>1210</v>
      </c>
    </row>
    <row r="112" spans="1:1">
      <c r="A112" s="394" t="s">
        <v>1181</v>
      </c>
    </row>
    <row r="113" spans="1:1">
      <c r="A113" s="473" t="s">
        <v>1762</v>
      </c>
    </row>
    <row r="114" spans="1:1">
      <c r="A114" s="473" t="s">
        <v>1763</v>
      </c>
    </row>
    <row r="115" spans="1:1">
      <c r="A115" s="473" t="s">
        <v>1764</v>
      </c>
    </row>
    <row r="116" spans="1:1">
      <c r="A116" s="473" t="s">
        <v>1765</v>
      </c>
    </row>
    <row r="117" spans="1:1">
      <c r="A117" s="473" t="s">
        <v>1766</v>
      </c>
    </row>
    <row r="118" spans="1:1">
      <c r="A118" s="473" t="s">
        <v>1767</v>
      </c>
    </row>
    <row r="119" spans="1:1">
      <c r="A119" s="473" t="s">
        <v>1719</v>
      </c>
    </row>
    <row r="120" spans="1:1">
      <c r="A120" s="473" t="s">
        <v>1768</v>
      </c>
    </row>
    <row r="121" spans="1:1">
      <c r="A121" s="394" t="s">
        <v>1182</v>
      </c>
    </row>
    <row r="122" spans="1:1">
      <c r="A122" s="471" t="s">
        <v>1211</v>
      </c>
    </row>
    <row r="123" spans="1:1">
      <c r="A123" s="471" t="s">
        <v>1212</v>
      </c>
    </row>
    <row r="124" spans="1:1">
      <c r="A124" s="471" t="s">
        <v>1213</v>
      </c>
    </row>
    <row r="125" spans="1:1">
      <c r="A125" s="394" t="s">
        <v>1186</v>
      </c>
    </row>
    <row r="126" spans="1:1">
      <c r="A126" s="473" t="s">
        <v>1749</v>
      </c>
    </row>
    <row r="127" spans="1:1">
      <c r="A127" s="473" t="s">
        <v>1722</v>
      </c>
    </row>
    <row r="128" spans="1:1">
      <c r="A128" s="473" t="s">
        <v>1769</v>
      </c>
    </row>
    <row r="129" spans="1:1">
      <c r="A129" s="473" t="s">
        <v>1770</v>
      </c>
    </row>
    <row r="130" spans="1:1">
      <c r="A130" s="473" t="s">
        <v>1725</v>
      </c>
    </row>
    <row r="132" spans="1:1">
      <c r="A132" s="395" t="s">
        <v>1187</v>
      </c>
    </row>
    <row r="133" spans="1:1">
      <c r="A133" s="473" t="s">
        <v>1771</v>
      </c>
    </row>
    <row r="134" spans="1:1">
      <c r="A134" s="473" t="s">
        <v>1772</v>
      </c>
    </row>
    <row r="135" spans="1:1">
      <c r="A135" s="473" t="s">
        <v>1773</v>
      </c>
    </row>
    <row r="136" spans="1:1">
      <c r="A136" s="473" t="s">
        <v>1729</v>
      </c>
    </row>
    <row r="137" spans="1:1">
      <c r="A137" s="473" t="s">
        <v>1774</v>
      </c>
    </row>
    <row r="138" spans="1:1">
      <c r="A138" s="473" t="s">
        <v>1775</v>
      </c>
    </row>
    <row r="139" spans="1:1">
      <c r="A139" s="473" t="s">
        <v>1776</v>
      </c>
    </row>
    <row r="140" spans="1:1">
      <c r="A140" s="473" t="s">
        <v>1777</v>
      </c>
    </row>
    <row r="141" spans="1:1">
      <c r="A141" s="473" t="s">
        <v>1778</v>
      </c>
    </row>
    <row r="142" spans="1:1">
      <c r="A142" s="473" t="s">
        <v>1759</v>
      </c>
    </row>
    <row r="143" spans="1:1">
      <c r="A143" s="473" t="s">
        <v>1735</v>
      </c>
    </row>
    <row r="144" spans="1:1">
      <c r="A144" s="473" t="s">
        <v>1779</v>
      </c>
    </row>
    <row r="145" spans="1:1">
      <c r="A145" s="473" t="s">
        <v>1780</v>
      </c>
    </row>
    <row r="146" spans="1:1">
      <c r="A146" s="473" t="s">
        <v>1738</v>
      </c>
    </row>
    <row r="148" spans="1:1">
      <c r="A148" s="395" t="s">
        <v>1188</v>
      </c>
    </row>
    <row r="149" spans="1:1">
      <c r="A149" s="473" t="s">
        <v>1781</v>
      </c>
    </row>
    <row r="150" spans="1:1">
      <c r="A150" s="473" t="s">
        <v>1782</v>
      </c>
    </row>
    <row r="151" spans="1:1">
      <c r="A151" s="473" t="s">
        <v>1783</v>
      </c>
    </row>
    <row r="153" spans="1:1">
      <c r="A153" s="472" t="s">
        <v>1214</v>
      </c>
    </row>
    <row r="154" spans="1:1">
      <c r="A154" s="394" t="s">
        <v>1180</v>
      </c>
    </row>
    <row r="155" spans="1:1">
      <c r="A155" s="472" t="s">
        <v>1215</v>
      </c>
    </row>
    <row r="158" spans="1:1">
      <c r="A158" s="394" t="s">
        <v>1181</v>
      </c>
    </row>
    <row r="159" spans="1:1">
      <c r="A159" s="473" t="s">
        <v>1784</v>
      </c>
    </row>
    <row r="160" spans="1:1">
      <c r="A160" s="473" t="s">
        <v>1785</v>
      </c>
    </row>
    <row r="161" spans="1:1">
      <c r="A161" s="473" t="s">
        <v>1786</v>
      </c>
    </row>
    <row r="162" spans="1:1">
      <c r="A162" s="473" t="s">
        <v>1787</v>
      </c>
    </row>
    <row r="163" spans="1:1">
      <c r="A163" s="473" t="s">
        <v>1788</v>
      </c>
    </row>
    <row r="164" spans="1:1">
      <c r="A164" s="473" t="s">
        <v>1789</v>
      </c>
    </row>
    <row r="165" spans="1:1">
      <c r="A165" s="473" t="s">
        <v>1790</v>
      </c>
    </row>
    <row r="166" spans="1:1">
      <c r="A166" s="473" t="s">
        <v>1791</v>
      </c>
    </row>
    <row r="167" spans="1:1">
      <c r="A167" s="394" t="s">
        <v>1182</v>
      </c>
    </row>
    <row r="168" spans="1:1">
      <c r="A168" s="471" t="s">
        <v>1216</v>
      </c>
    </row>
    <row r="169" spans="1:1">
      <c r="A169" s="471" t="s">
        <v>1217</v>
      </c>
    </row>
    <row r="170" spans="1:1">
      <c r="A170" s="471" t="s">
        <v>1218</v>
      </c>
    </row>
    <row r="171" spans="1:1">
      <c r="A171" s="394" t="s">
        <v>1186</v>
      </c>
    </row>
    <row r="172" spans="1:1">
      <c r="A172" s="473" t="s">
        <v>1749</v>
      </c>
    </row>
    <row r="173" spans="1:1">
      <c r="A173" s="473" t="s">
        <v>1792</v>
      </c>
    </row>
    <row r="174" spans="1:1">
      <c r="A174" s="473" t="s">
        <v>1793</v>
      </c>
    </row>
    <row r="175" spans="1:1">
      <c r="A175" s="473" t="s">
        <v>1794</v>
      </c>
    </row>
    <row r="176" spans="1:1">
      <c r="A176" s="473" t="s">
        <v>1795</v>
      </c>
    </row>
    <row r="178" spans="1:1">
      <c r="A178" s="395" t="s">
        <v>1187</v>
      </c>
    </row>
    <row r="179" spans="1:1">
      <c r="A179" s="473" t="s">
        <v>1796</v>
      </c>
    </row>
    <row r="180" spans="1:1">
      <c r="A180" s="473" t="s">
        <v>1797</v>
      </c>
    </row>
    <row r="181" spans="1:1">
      <c r="A181" s="473" t="s">
        <v>1798</v>
      </c>
    </row>
    <row r="182" spans="1:1">
      <c r="A182" s="473" t="s">
        <v>1799</v>
      </c>
    </row>
    <row r="183" spans="1:1">
      <c r="A183" s="473" t="s">
        <v>1800</v>
      </c>
    </row>
    <row r="184" spans="1:1">
      <c r="A184" s="473" t="s">
        <v>1801</v>
      </c>
    </row>
    <row r="185" spans="1:1">
      <c r="A185" s="473" t="s">
        <v>1802</v>
      </c>
    </row>
    <row r="186" spans="1:1">
      <c r="A186" s="473" t="s">
        <v>1803</v>
      </c>
    </row>
    <row r="187" spans="1:1">
      <c r="A187" s="473" t="s">
        <v>1804</v>
      </c>
    </row>
    <row r="188" spans="1:1">
      <c r="A188" s="473" t="s">
        <v>1805</v>
      </c>
    </row>
    <row r="189" spans="1:1">
      <c r="A189" s="473" t="s">
        <v>1779</v>
      </c>
    </row>
    <row r="190" spans="1:1">
      <c r="A190" s="473" t="s">
        <v>1806</v>
      </c>
    </row>
    <row r="191" spans="1:1">
      <c r="A191" s="473" t="s">
        <v>1738</v>
      </c>
    </row>
    <row r="193" spans="1:1">
      <c r="A193" s="395" t="s">
        <v>1188</v>
      </c>
    </row>
    <row r="194" spans="1:1">
      <c r="A194" s="473" t="s">
        <v>1739</v>
      </c>
    </row>
    <row r="195" spans="1:1">
      <c r="A195" s="473" t="s">
        <v>1740</v>
      </c>
    </row>
    <row r="196" spans="1:1">
      <c r="A196" s="473" t="s">
        <v>1807</v>
      </c>
    </row>
    <row r="197" spans="1:1">
      <c r="A197" s="473" t="s">
        <v>1808</v>
      </c>
    </row>
    <row r="199" spans="1:1">
      <c r="A199" s="472" t="s">
        <v>1219</v>
      </c>
    </row>
    <row r="200" spans="1:1">
      <c r="A200" s="394" t="s">
        <v>1180</v>
      </c>
    </row>
    <row r="201" spans="1:1">
      <c r="A201" s="472" t="s">
        <v>1220</v>
      </c>
    </row>
    <row r="204" spans="1:1">
      <c r="A204" s="394" t="s">
        <v>1181</v>
      </c>
    </row>
    <row r="205" spans="1:1">
      <c r="A205" s="473" t="s">
        <v>1809</v>
      </c>
    </row>
    <row r="206" spans="1:1">
      <c r="A206" s="473" t="s">
        <v>1763</v>
      </c>
    </row>
    <row r="207" spans="1:1">
      <c r="A207" s="473" t="s">
        <v>1810</v>
      </c>
    </row>
    <row r="208" spans="1:1">
      <c r="A208" s="473" t="s">
        <v>1811</v>
      </c>
    </row>
    <row r="209" spans="1:1">
      <c r="A209" s="473" t="s">
        <v>1812</v>
      </c>
    </row>
    <row r="210" spans="1:1">
      <c r="A210" s="473" t="s">
        <v>1789</v>
      </c>
    </row>
    <row r="211" spans="1:1">
      <c r="A211" s="473" t="s">
        <v>1813</v>
      </c>
    </row>
    <row r="212" spans="1:1">
      <c r="A212" s="473" t="s">
        <v>1814</v>
      </c>
    </row>
    <row r="213" spans="1:1">
      <c r="A213" s="394" t="s">
        <v>1182</v>
      </c>
    </row>
    <row r="214" spans="1:1">
      <c r="A214" s="471" t="s">
        <v>1221</v>
      </c>
    </row>
    <row r="215" spans="1:1">
      <c r="A215" s="471" t="s">
        <v>1222</v>
      </c>
    </row>
    <row r="216" spans="1:1">
      <c r="A216" s="471" t="s">
        <v>1223</v>
      </c>
    </row>
    <row r="217" spans="1:1">
      <c r="A217" s="394" t="s">
        <v>1186</v>
      </c>
    </row>
    <row r="218" spans="1:1">
      <c r="A218" s="473" t="s">
        <v>1815</v>
      </c>
    </row>
    <row r="219" spans="1:1">
      <c r="A219" s="473" t="s">
        <v>1792</v>
      </c>
    </row>
    <row r="220" spans="1:1">
      <c r="A220" s="473" t="s">
        <v>1793</v>
      </c>
    </row>
    <row r="221" spans="1:1">
      <c r="A221" s="473" t="s">
        <v>1794</v>
      </c>
    </row>
    <row r="222" spans="1:1">
      <c r="A222" s="473" t="s">
        <v>1795</v>
      </c>
    </row>
    <row r="224" spans="1:1">
      <c r="A224" s="395" t="s">
        <v>1187</v>
      </c>
    </row>
    <row r="225" spans="1:1">
      <c r="A225" s="473" t="s">
        <v>1816</v>
      </c>
    </row>
    <row r="226" spans="1:1">
      <c r="A226" s="473" t="s">
        <v>1797</v>
      </c>
    </row>
    <row r="227" spans="1:1">
      <c r="A227" s="473" t="s">
        <v>1817</v>
      </c>
    </row>
    <row r="228" spans="1:1">
      <c r="A228" s="473" t="s">
        <v>1799</v>
      </c>
    </row>
    <row r="229" spans="1:1">
      <c r="A229" s="473" t="s">
        <v>1818</v>
      </c>
    </row>
    <row r="230" spans="1:1">
      <c r="A230" s="473" t="s">
        <v>1801</v>
      </c>
    </row>
    <row r="231" spans="1:1">
      <c r="A231" s="473" t="s">
        <v>1819</v>
      </c>
    </row>
    <row r="232" spans="1:1">
      <c r="A232" s="473" t="s">
        <v>1820</v>
      </c>
    </row>
    <row r="233" spans="1:1">
      <c r="A233" s="473" t="s">
        <v>1821</v>
      </c>
    </row>
    <row r="234" spans="1:1">
      <c r="A234" s="473" t="s">
        <v>1822</v>
      </c>
    </row>
    <row r="235" spans="1:1">
      <c r="A235" s="473" t="s">
        <v>1805</v>
      </c>
    </row>
    <row r="236" spans="1:1">
      <c r="A236" s="473" t="s">
        <v>1779</v>
      </c>
    </row>
    <row r="237" spans="1:1">
      <c r="A237" s="473" t="s">
        <v>1806</v>
      </c>
    </row>
    <row r="238" spans="1:1">
      <c r="A238" s="473" t="s">
        <v>1823</v>
      </c>
    </row>
    <row r="240" spans="1:1">
      <c r="A240" s="395" t="s">
        <v>1188</v>
      </c>
    </row>
    <row r="241" spans="1:1">
      <c r="A241" s="473" t="s">
        <v>1739</v>
      </c>
    </row>
    <row r="242" spans="1:1">
      <c r="A242" s="473" t="s">
        <v>1740</v>
      </c>
    </row>
    <row r="243" spans="1:1">
      <c r="A243" s="473" t="s">
        <v>1824</v>
      </c>
    </row>
    <row r="245" spans="1:1">
      <c r="A245" s="472" t="s">
        <v>1224</v>
      </c>
    </row>
    <row r="246" spans="1:1">
      <c r="A246" s="394" t="s">
        <v>1225</v>
      </c>
    </row>
    <row r="247" spans="1:1">
      <c r="A247" s="472" t="s">
        <v>1226</v>
      </c>
    </row>
    <row r="250" spans="1:1">
      <c r="A250" s="394" t="s">
        <v>1181</v>
      </c>
    </row>
    <row r="251" spans="1:1">
      <c r="A251" s="473" t="s">
        <v>1825</v>
      </c>
    </row>
    <row r="252" spans="1:1">
      <c r="A252" s="473" t="s">
        <v>1826</v>
      </c>
    </row>
    <row r="253" spans="1:1">
      <c r="A253" s="473" t="s">
        <v>1827</v>
      </c>
    </row>
    <row r="254" spans="1:1">
      <c r="A254" s="473" t="s">
        <v>1828</v>
      </c>
    </row>
    <row r="255" spans="1:1">
      <c r="A255" s="473" t="s">
        <v>1829</v>
      </c>
    </row>
    <row r="256" spans="1:1">
      <c r="A256" s="473" t="s">
        <v>1747</v>
      </c>
    </row>
    <row r="257" spans="1:1">
      <c r="A257" s="473" t="s">
        <v>1830</v>
      </c>
    </row>
    <row r="258" spans="1:1">
      <c r="A258" s="473" t="s">
        <v>1831</v>
      </c>
    </row>
    <row r="259" spans="1:1">
      <c r="A259" s="394" t="s">
        <v>1182</v>
      </c>
    </row>
    <row r="260" spans="1:1">
      <c r="A260" s="471" t="s">
        <v>1227</v>
      </c>
    </row>
    <row r="261" spans="1:1">
      <c r="A261" s="471" t="s">
        <v>1228</v>
      </c>
    </row>
    <row r="262" spans="1:1">
      <c r="A262" s="471" t="s">
        <v>1229</v>
      </c>
    </row>
    <row r="263" spans="1:1">
      <c r="A263" s="394" t="s">
        <v>1186</v>
      </c>
    </row>
    <row r="264" spans="1:1">
      <c r="A264" s="473" t="s">
        <v>1721</v>
      </c>
    </row>
    <row r="265" spans="1:1">
      <c r="A265" s="473" t="s">
        <v>1722</v>
      </c>
    </row>
    <row r="266" spans="1:1">
      <c r="A266" s="473" t="s">
        <v>1723</v>
      </c>
    </row>
    <row r="267" spans="1:1">
      <c r="A267" s="473" t="s">
        <v>1832</v>
      </c>
    </row>
    <row r="268" spans="1:1">
      <c r="A268" s="473" t="s">
        <v>1794</v>
      </c>
    </row>
    <row r="269" spans="1:1">
      <c r="A269" s="473" t="s">
        <v>1725</v>
      </c>
    </row>
    <row r="271" spans="1:1">
      <c r="A271" s="395" t="s">
        <v>1187</v>
      </c>
    </row>
    <row r="272" spans="1:1">
      <c r="A272" s="473" t="s">
        <v>1833</v>
      </c>
    </row>
    <row r="273" spans="1:1">
      <c r="A273" s="473" t="s">
        <v>1834</v>
      </c>
    </row>
    <row r="274" spans="1:1">
      <c r="A274" s="473" t="s">
        <v>1835</v>
      </c>
    </row>
    <row r="275" spans="1:1">
      <c r="A275" s="473" t="s">
        <v>1729</v>
      </c>
    </row>
    <row r="276" spans="1:1">
      <c r="A276" s="473" t="s">
        <v>1836</v>
      </c>
    </row>
    <row r="277" spans="1:1">
      <c r="A277" s="473" t="s">
        <v>1837</v>
      </c>
    </row>
    <row r="278" spans="1:1">
      <c r="A278" s="473" t="s">
        <v>1838</v>
      </c>
    </row>
    <row r="279" spans="1:1">
      <c r="A279" s="473" t="s">
        <v>1839</v>
      </c>
    </row>
    <row r="280" spans="1:1">
      <c r="A280" s="473" t="s">
        <v>1759</v>
      </c>
    </row>
    <row r="281" spans="1:1">
      <c r="A281" s="473" t="s">
        <v>1735</v>
      </c>
    </row>
    <row r="282" spans="1:1">
      <c r="A282" s="473" t="s">
        <v>1736</v>
      </c>
    </row>
    <row r="283" spans="1:1">
      <c r="A283" s="473" t="s">
        <v>1780</v>
      </c>
    </row>
    <row r="284" spans="1:1">
      <c r="A284" s="473" t="s">
        <v>1738</v>
      </c>
    </row>
    <row r="286" spans="1:1">
      <c r="A286" s="395" t="s">
        <v>1188</v>
      </c>
    </row>
    <row r="287" spans="1:1">
      <c r="A287" s="473" t="s">
        <v>1840</v>
      </c>
    </row>
    <row r="288" spans="1:1">
      <c r="A288" s="473" t="s">
        <v>1740</v>
      </c>
    </row>
    <row r="289" spans="1:1">
      <c r="A289" s="473" t="s">
        <v>1841</v>
      </c>
    </row>
    <row r="291" spans="1:1">
      <c r="A291" s="472" t="s">
        <v>1230</v>
      </c>
    </row>
    <row r="292" spans="1:1">
      <c r="A292" s="394" t="s">
        <v>1225</v>
      </c>
    </row>
    <row r="293" spans="1:1">
      <c r="A293" s="472" t="s">
        <v>1231</v>
      </c>
    </row>
    <row r="294" spans="1:1">
      <c r="A294" s="472" t="s">
        <v>1230</v>
      </c>
    </row>
    <row r="295" spans="1:1">
      <c r="A295" s="472" t="s">
        <v>1232</v>
      </c>
    </row>
    <row r="296" spans="1:1">
      <c r="A296" s="472" t="s">
        <v>1233</v>
      </c>
    </row>
    <row r="297" spans="1:1">
      <c r="A297" s="472" t="s">
        <v>1234</v>
      </c>
    </row>
    <row r="298" spans="1:1">
      <c r="A298" s="472" t="s">
        <v>1235</v>
      </c>
    </row>
    <row r="299" spans="1:1">
      <c r="A299" s="471" t="s">
        <v>1236</v>
      </c>
    </row>
    <row r="300" spans="1:1">
      <c r="A300" s="471" t="s">
        <v>1237</v>
      </c>
    </row>
    <row r="303" spans="1:1">
      <c r="A303" s="394" t="s">
        <v>1181</v>
      </c>
    </row>
    <row r="304" spans="1:1">
      <c r="A304" s="473" t="s">
        <v>1842</v>
      </c>
    </row>
    <row r="305" spans="1:1">
      <c r="A305" s="473" t="s">
        <v>1843</v>
      </c>
    </row>
    <row r="306" spans="1:1">
      <c r="A306" s="473" t="s">
        <v>1844</v>
      </c>
    </row>
    <row r="307" spans="1:1">
      <c r="A307" s="473" t="s">
        <v>1845</v>
      </c>
    </row>
    <row r="308" spans="1:1">
      <c r="A308" s="473" t="s">
        <v>1766</v>
      </c>
    </row>
    <row r="309" spans="1:1">
      <c r="A309" s="473" t="s">
        <v>1846</v>
      </c>
    </row>
    <row r="310" spans="1:1">
      <c r="A310" s="473" t="s">
        <v>1719</v>
      </c>
    </row>
    <row r="311" spans="1:1">
      <c r="A311" s="473" t="s">
        <v>1847</v>
      </c>
    </row>
    <row r="312" spans="1:1">
      <c r="A312" s="394" t="s">
        <v>1182</v>
      </c>
    </row>
    <row r="313" spans="1:1">
      <c r="A313" s="471" t="s">
        <v>1238</v>
      </c>
    </row>
    <row r="314" spans="1:1">
      <c r="A314" s="471" t="s">
        <v>1239</v>
      </c>
    </row>
    <row r="315" spans="1:1">
      <c r="A315" s="471" t="s">
        <v>1240</v>
      </c>
    </row>
    <row r="316" spans="1:1">
      <c r="A316" s="394" t="s">
        <v>1186</v>
      </c>
    </row>
    <row r="317" spans="1:1">
      <c r="A317" s="473" t="s">
        <v>1721</v>
      </c>
    </row>
    <row r="318" spans="1:1">
      <c r="A318" s="473" t="s">
        <v>1848</v>
      </c>
    </row>
    <row r="319" spans="1:1">
      <c r="A319" s="473" t="s">
        <v>1723</v>
      </c>
    </row>
    <row r="320" spans="1:1">
      <c r="A320" s="473" t="s">
        <v>1849</v>
      </c>
    </row>
    <row r="321" spans="1:1">
      <c r="A321" s="473" t="s">
        <v>1850</v>
      </c>
    </row>
    <row r="322" spans="1:1">
      <c r="A322" s="473" t="s">
        <v>1851</v>
      </c>
    </row>
    <row r="324" spans="1:1">
      <c r="A324" s="395" t="s">
        <v>1187</v>
      </c>
    </row>
    <row r="325" spans="1:1">
      <c r="A325" s="473" t="s">
        <v>1852</v>
      </c>
    </row>
    <row r="326" spans="1:1">
      <c r="A326" s="473" t="s">
        <v>1853</v>
      </c>
    </row>
    <row r="327" spans="1:1">
      <c r="A327" s="473" t="s">
        <v>1854</v>
      </c>
    </row>
    <row r="328" spans="1:1">
      <c r="A328" s="473" t="s">
        <v>1855</v>
      </c>
    </row>
    <row r="329" spans="1:1">
      <c r="A329" s="473" t="s">
        <v>1856</v>
      </c>
    </row>
    <row r="330" spans="1:1">
      <c r="A330" s="473" t="s">
        <v>1837</v>
      </c>
    </row>
    <row r="331" spans="1:1">
      <c r="A331" s="473" t="s">
        <v>1857</v>
      </c>
    </row>
    <row r="332" spans="1:1">
      <c r="A332" s="473" t="s">
        <v>1858</v>
      </c>
    </row>
    <row r="333" spans="1:1">
      <c r="A333" s="473" t="s">
        <v>1734</v>
      </c>
    </row>
    <row r="334" spans="1:1">
      <c r="A334" s="473" t="s">
        <v>1859</v>
      </c>
    </row>
    <row r="335" spans="1:1">
      <c r="A335" s="473" t="s">
        <v>1860</v>
      </c>
    </row>
    <row r="336" spans="1:1">
      <c r="A336" s="473" t="s">
        <v>1780</v>
      </c>
    </row>
    <row r="337" spans="1:1">
      <c r="A337" s="473" t="s">
        <v>1861</v>
      </c>
    </row>
    <row r="339" spans="1:1">
      <c r="A339" s="395" t="s">
        <v>1188</v>
      </c>
    </row>
    <row r="340" spans="1:1">
      <c r="A340" s="473" t="s">
        <v>1840</v>
      </c>
    </row>
    <row r="341" spans="1:1">
      <c r="A341" s="473" t="s">
        <v>1740</v>
      </c>
    </row>
    <row r="342" spans="1:1">
      <c r="A342" s="473" t="s">
        <v>1841</v>
      </c>
    </row>
    <row r="344" spans="1:1">
      <c r="A344" s="472" t="s">
        <v>1241</v>
      </c>
    </row>
    <row r="345" spans="1:1">
      <c r="A345" s="394" t="s">
        <v>1225</v>
      </c>
    </row>
    <row r="346" spans="1:1">
      <c r="A346" s="472" t="s">
        <v>1242</v>
      </c>
    </row>
    <row r="349" spans="1:1">
      <c r="A349" s="394" t="s">
        <v>1181</v>
      </c>
    </row>
    <row r="350" spans="1:1">
      <c r="A350" s="473" t="s">
        <v>1862</v>
      </c>
    </row>
    <row r="351" spans="1:1">
      <c r="A351" s="473" t="s">
        <v>1863</v>
      </c>
    </row>
    <row r="352" spans="1:1">
      <c r="A352" s="473" t="s">
        <v>1864</v>
      </c>
    </row>
    <row r="353" spans="1:1">
      <c r="A353" s="473" t="s">
        <v>1865</v>
      </c>
    </row>
    <row r="354" spans="1:1">
      <c r="A354" s="473" t="s">
        <v>1866</v>
      </c>
    </row>
    <row r="355" spans="1:1">
      <c r="A355" s="473" t="s">
        <v>1867</v>
      </c>
    </row>
    <row r="356" spans="1:1">
      <c r="A356" s="473" t="s">
        <v>1719</v>
      </c>
    </row>
    <row r="357" spans="1:1">
      <c r="A357" s="473" t="s">
        <v>1868</v>
      </c>
    </row>
    <row r="358" spans="1:1">
      <c r="A358" s="394" t="s">
        <v>1182</v>
      </c>
    </row>
    <row r="359" spans="1:1">
      <c r="A359" s="471" t="s">
        <v>1243</v>
      </c>
    </row>
    <row r="360" spans="1:1">
      <c r="A360" s="471" t="s">
        <v>1244</v>
      </c>
    </row>
    <row r="361" spans="1:1">
      <c r="A361" s="471" t="s">
        <v>1245</v>
      </c>
    </row>
    <row r="362" spans="1:1">
      <c r="A362" s="394" t="s">
        <v>1186</v>
      </c>
    </row>
    <row r="363" spans="1:1">
      <c r="A363" s="473" t="s">
        <v>1815</v>
      </c>
    </row>
    <row r="364" spans="1:1">
      <c r="A364" s="473" t="s">
        <v>1848</v>
      </c>
    </row>
    <row r="365" spans="1:1">
      <c r="A365" s="473" t="s">
        <v>1869</v>
      </c>
    </row>
    <row r="366" spans="1:1">
      <c r="A366" s="473" t="s">
        <v>1849</v>
      </c>
    </row>
    <row r="367" spans="1:1">
      <c r="A367" s="473" t="s">
        <v>1870</v>
      </c>
    </row>
    <row r="368" spans="1:1">
      <c r="A368" s="473" t="s">
        <v>1851</v>
      </c>
    </row>
    <row r="370" spans="1:1">
      <c r="A370" s="395" t="s">
        <v>1187</v>
      </c>
    </row>
    <row r="371" spans="1:1">
      <c r="A371" s="473" t="s">
        <v>1871</v>
      </c>
    </row>
    <row r="372" spans="1:1">
      <c r="A372" s="473" t="s">
        <v>1872</v>
      </c>
    </row>
    <row r="373" spans="1:1">
      <c r="A373" s="473" t="s">
        <v>1873</v>
      </c>
    </row>
    <row r="374" spans="1:1">
      <c r="A374" s="473" t="s">
        <v>1874</v>
      </c>
    </row>
    <row r="375" spans="1:1">
      <c r="A375" s="473" t="s">
        <v>1875</v>
      </c>
    </row>
    <row r="376" spans="1:1">
      <c r="A376" s="473" t="s">
        <v>1837</v>
      </c>
    </row>
    <row r="377" spans="1:1">
      <c r="A377" s="473" t="s">
        <v>1876</v>
      </c>
    </row>
    <row r="378" spans="1:1">
      <c r="A378" s="473" t="s">
        <v>1877</v>
      </c>
    </row>
    <row r="379" spans="1:1">
      <c r="A379" s="473" t="s">
        <v>1759</v>
      </c>
    </row>
    <row r="380" spans="1:1">
      <c r="A380" s="473" t="s">
        <v>1859</v>
      </c>
    </row>
    <row r="381" spans="1:1">
      <c r="A381" s="473" t="s">
        <v>1736</v>
      </c>
    </row>
    <row r="382" spans="1:1">
      <c r="A382" s="473" t="s">
        <v>1780</v>
      </c>
    </row>
    <row r="383" spans="1:1">
      <c r="A383" s="473" t="s">
        <v>1738</v>
      </c>
    </row>
    <row r="385" spans="1:1">
      <c r="A385" s="395" t="s">
        <v>1188</v>
      </c>
    </row>
    <row r="386" spans="1:1">
      <c r="A386" s="473" t="s">
        <v>1840</v>
      </c>
    </row>
    <row r="387" spans="1:1">
      <c r="A387" s="473" t="s">
        <v>1740</v>
      </c>
    </row>
    <row r="388" spans="1:1">
      <c r="A388" s="473" t="s">
        <v>1841</v>
      </c>
    </row>
    <row r="390" spans="1:1">
      <c r="A390" s="472" t="s">
        <v>1246</v>
      </c>
    </row>
    <row r="391" spans="1:1">
      <c r="A391" s="394" t="s">
        <v>1225</v>
      </c>
    </row>
    <row r="392" spans="1:1">
      <c r="A392" s="472" t="s">
        <v>1247</v>
      </c>
    </row>
    <row r="395" spans="1:1">
      <c r="A395" s="394" t="s">
        <v>1181</v>
      </c>
    </row>
    <row r="396" spans="1:1">
      <c r="A396" s="473" t="s">
        <v>1878</v>
      </c>
    </row>
    <row r="397" spans="1:1">
      <c r="A397" s="473" t="s">
        <v>1879</v>
      </c>
    </row>
    <row r="398" spans="1:1">
      <c r="A398" s="473" t="s">
        <v>1880</v>
      </c>
    </row>
    <row r="399" spans="1:1">
      <c r="A399" s="473" t="s">
        <v>1881</v>
      </c>
    </row>
    <row r="400" spans="1:1">
      <c r="A400" s="473" t="s">
        <v>1882</v>
      </c>
    </row>
    <row r="401" spans="1:1">
      <c r="A401" s="473" t="s">
        <v>1883</v>
      </c>
    </row>
    <row r="402" spans="1:1">
      <c r="A402" s="473" t="s">
        <v>1719</v>
      </c>
    </row>
    <row r="403" spans="1:1">
      <c r="A403" s="473" t="s">
        <v>1884</v>
      </c>
    </row>
    <row r="404" spans="1:1">
      <c r="A404" s="394" t="s">
        <v>1182</v>
      </c>
    </row>
    <row r="405" spans="1:1">
      <c r="A405" s="471" t="s">
        <v>1248</v>
      </c>
    </row>
    <row r="406" spans="1:1">
      <c r="A406" s="471" t="s">
        <v>1249</v>
      </c>
    </row>
    <row r="407" spans="1:1">
      <c r="A407" s="471" t="s">
        <v>1250</v>
      </c>
    </row>
    <row r="408" spans="1:1">
      <c r="A408" s="394" t="s">
        <v>1186</v>
      </c>
    </row>
    <row r="409" spans="1:1">
      <c r="A409" s="473" t="s">
        <v>1749</v>
      </c>
    </row>
    <row r="410" spans="1:1">
      <c r="A410" s="473" t="s">
        <v>1722</v>
      </c>
    </row>
    <row r="411" spans="1:1">
      <c r="A411" s="473" t="s">
        <v>1885</v>
      </c>
    </row>
    <row r="412" spans="1:1">
      <c r="A412" s="473" t="s">
        <v>1886</v>
      </c>
    </row>
    <row r="413" spans="1:1">
      <c r="A413" s="473" t="s">
        <v>1851</v>
      </c>
    </row>
    <row r="415" spans="1:1">
      <c r="A415" s="395" t="s">
        <v>1187</v>
      </c>
    </row>
    <row r="416" spans="1:1">
      <c r="A416" s="473" t="s">
        <v>1887</v>
      </c>
    </row>
    <row r="417" spans="1:1">
      <c r="A417" s="473" t="s">
        <v>1888</v>
      </c>
    </row>
    <row r="418" spans="1:1">
      <c r="A418" s="473" t="s">
        <v>1889</v>
      </c>
    </row>
    <row r="419" spans="1:1">
      <c r="A419" s="473" t="s">
        <v>1874</v>
      </c>
    </row>
    <row r="420" spans="1:1">
      <c r="A420" s="473" t="s">
        <v>1890</v>
      </c>
    </row>
    <row r="421" spans="1:1">
      <c r="A421" s="473" t="s">
        <v>1837</v>
      </c>
    </row>
    <row r="422" spans="1:1">
      <c r="A422" s="473" t="s">
        <v>1891</v>
      </c>
    </row>
    <row r="423" spans="1:1">
      <c r="A423" s="473" t="s">
        <v>1892</v>
      </c>
    </row>
    <row r="424" spans="1:1">
      <c r="A424" s="473" t="s">
        <v>1759</v>
      </c>
    </row>
    <row r="425" spans="1:1">
      <c r="A425" s="473" t="s">
        <v>1735</v>
      </c>
    </row>
    <row r="426" spans="1:1">
      <c r="A426" s="473" t="s">
        <v>1860</v>
      </c>
    </row>
    <row r="427" spans="1:1">
      <c r="A427" s="473" t="s">
        <v>1780</v>
      </c>
    </row>
    <row r="428" spans="1:1">
      <c r="A428" s="473" t="s">
        <v>1738</v>
      </c>
    </row>
    <row r="430" spans="1:1">
      <c r="A430" s="395" t="s">
        <v>1188</v>
      </c>
    </row>
    <row r="431" spans="1:1">
      <c r="A431" s="473" t="s">
        <v>1840</v>
      </c>
    </row>
    <row r="432" spans="1:1">
      <c r="A432" s="473" t="s">
        <v>1740</v>
      </c>
    </row>
    <row r="433" spans="1:1">
      <c r="A433" s="473" t="s">
        <v>1841</v>
      </c>
    </row>
    <row r="435" spans="1:1">
      <c r="A435" s="472" t="s">
        <v>1251</v>
      </c>
    </row>
    <row r="436" spans="1:1">
      <c r="A436" s="394" t="s">
        <v>1225</v>
      </c>
    </row>
    <row r="437" spans="1:1">
      <c r="A437" s="472" t="s">
        <v>1252</v>
      </c>
    </row>
    <row r="440" spans="1:1">
      <c r="A440" s="394" t="s">
        <v>1181</v>
      </c>
    </row>
    <row r="441" spans="1:1">
      <c r="A441" s="473" t="s">
        <v>1893</v>
      </c>
    </row>
    <row r="442" spans="1:1">
      <c r="A442" s="473" t="s">
        <v>1716</v>
      </c>
    </row>
    <row r="443" spans="1:1">
      <c r="A443" s="473" t="s">
        <v>1827</v>
      </c>
    </row>
    <row r="444" spans="1:1">
      <c r="A444" s="473" t="s">
        <v>1894</v>
      </c>
    </row>
    <row r="445" spans="1:1">
      <c r="A445" s="473" t="s">
        <v>1895</v>
      </c>
    </row>
    <row r="446" spans="1:1">
      <c r="A446" s="473" t="s">
        <v>1896</v>
      </c>
    </row>
    <row r="447" spans="1:1">
      <c r="A447" s="473" t="s">
        <v>1719</v>
      </c>
    </row>
    <row r="448" spans="1:1">
      <c r="A448" s="473" t="s">
        <v>1897</v>
      </c>
    </row>
    <row r="449" spans="1:1">
      <c r="A449" s="394" t="s">
        <v>1182</v>
      </c>
    </row>
    <row r="450" spans="1:1">
      <c r="A450" s="471" t="s">
        <v>1253</v>
      </c>
    </row>
    <row r="451" spans="1:1">
      <c r="A451" s="471" t="s">
        <v>1254</v>
      </c>
    </row>
    <row r="452" spans="1:1">
      <c r="A452" s="471" t="s">
        <v>1255</v>
      </c>
    </row>
    <row r="453" spans="1:1">
      <c r="A453" s="394" t="s">
        <v>1186</v>
      </c>
    </row>
    <row r="454" spans="1:1">
      <c r="A454" s="473" t="s">
        <v>1815</v>
      </c>
    </row>
    <row r="455" spans="1:1">
      <c r="A455" s="473" t="s">
        <v>1848</v>
      </c>
    </row>
    <row r="456" spans="1:1">
      <c r="A456" s="473" t="s">
        <v>1898</v>
      </c>
    </row>
    <row r="457" spans="1:1">
      <c r="A457" s="473" t="s">
        <v>1724</v>
      </c>
    </row>
    <row r="458" spans="1:1">
      <c r="A458" s="473" t="s">
        <v>1851</v>
      </c>
    </row>
    <row r="460" spans="1:1">
      <c r="A460" s="395" t="s">
        <v>1187</v>
      </c>
    </row>
    <row r="461" spans="1:1">
      <c r="A461" s="473" t="s">
        <v>1899</v>
      </c>
    </row>
    <row r="462" spans="1:1">
      <c r="A462" s="473" t="s">
        <v>1834</v>
      </c>
    </row>
    <row r="463" spans="1:1">
      <c r="A463" s="473" t="s">
        <v>1900</v>
      </c>
    </row>
    <row r="464" spans="1:1">
      <c r="A464" s="473" t="s">
        <v>1874</v>
      </c>
    </row>
    <row r="465" spans="1:1">
      <c r="A465" s="473" t="s">
        <v>1901</v>
      </c>
    </row>
    <row r="466" spans="1:1">
      <c r="A466" s="473" t="s">
        <v>1837</v>
      </c>
    </row>
    <row r="467" spans="1:1">
      <c r="A467" s="473" t="s">
        <v>1902</v>
      </c>
    </row>
    <row r="468" spans="1:1">
      <c r="A468" s="473" t="s">
        <v>1903</v>
      </c>
    </row>
    <row r="469" spans="1:1">
      <c r="A469" s="473" t="s">
        <v>1759</v>
      </c>
    </row>
    <row r="470" spans="1:1">
      <c r="A470" s="473" t="s">
        <v>1859</v>
      </c>
    </row>
    <row r="471" spans="1:1">
      <c r="A471" s="473" t="s">
        <v>1736</v>
      </c>
    </row>
    <row r="472" spans="1:1">
      <c r="A472" s="473" t="s">
        <v>1780</v>
      </c>
    </row>
    <row r="473" spans="1:1">
      <c r="A473" s="473" t="s">
        <v>1904</v>
      </c>
    </row>
    <row r="475" spans="1:1">
      <c r="A475" s="395" t="s">
        <v>1188</v>
      </c>
    </row>
    <row r="476" spans="1:1">
      <c r="A476" s="473" t="s">
        <v>1840</v>
      </c>
    </row>
    <row r="477" spans="1:1">
      <c r="A477" s="473" t="s">
        <v>1740</v>
      </c>
    </row>
    <row r="478" spans="1:1">
      <c r="A478" s="473" t="s">
        <v>1841</v>
      </c>
    </row>
    <row r="480" spans="1:1">
      <c r="A480" s="472" t="s">
        <v>1256</v>
      </c>
    </row>
    <row r="481" spans="1:1">
      <c r="A481" s="394" t="s">
        <v>1257</v>
      </c>
    </row>
    <row r="482" spans="1:1">
      <c r="A482" s="472" t="s">
        <v>1258</v>
      </c>
    </row>
    <row r="485" spans="1:1">
      <c r="A485" s="394" t="s">
        <v>1181</v>
      </c>
    </row>
    <row r="486" spans="1:1">
      <c r="A486" s="473" t="s">
        <v>1905</v>
      </c>
    </row>
    <row r="487" spans="1:1">
      <c r="A487" s="473" t="s">
        <v>1826</v>
      </c>
    </row>
    <row r="488" spans="1:1">
      <c r="A488" s="473" t="s">
        <v>1906</v>
      </c>
    </row>
    <row r="489" spans="1:1">
      <c r="A489" s="473" t="s">
        <v>1717</v>
      </c>
    </row>
    <row r="490" spans="1:1">
      <c r="A490" s="473" t="s">
        <v>1907</v>
      </c>
    </row>
    <row r="491" spans="1:1">
      <c r="A491" s="473" t="s">
        <v>1908</v>
      </c>
    </row>
    <row r="492" spans="1:1">
      <c r="A492" s="473" t="s">
        <v>1719</v>
      </c>
    </row>
    <row r="493" spans="1:1">
      <c r="A493" s="473" t="s">
        <v>1909</v>
      </c>
    </row>
    <row r="494" spans="1:1">
      <c r="A494" s="394" t="s">
        <v>1182</v>
      </c>
    </row>
    <row r="495" spans="1:1">
      <c r="A495" s="471" t="s">
        <v>1259</v>
      </c>
    </row>
    <row r="496" spans="1:1">
      <c r="A496" s="471" t="s">
        <v>1260</v>
      </c>
    </row>
    <row r="497" spans="1:1">
      <c r="A497" s="471" t="s">
        <v>1261</v>
      </c>
    </row>
    <row r="498" spans="1:1">
      <c r="A498" s="394" t="s">
        <v>1186</v>
      </c>
    </row>
    <row r="499" spans="1:1">
      <c r="A499" s="473" t="s">
        <v>1721</v>
      </c>
    </row>
    <row r="500" spans="1:1">
      <c r="A500" s="473" t="s">
        <v>1722</v>
      </c>
    </row>
    <row r="501" spans="1:1">
      <c r="A501" s="473" t="s">
        <v>1885</v>
      </c>
    </row>
    <row r="502" spans="1:1">
      <c r="A502" s="473" t="s">
        <v>1910</v>
      </c>
    </row>
    <row r="503" spans="1:1">
      <c r="A503" s="473" t="s">
        <v>1911</v>
      </c>
    </row>
    <row r="504" spans="1:1">
      <c r="A504" s="473" t="s">
        <v>1725</v>
      </c>
    </row>
    <row r="506" spans="1:1">
      <c r="A506" s="395" t="s">
        <v>1187</v>
      </c>
    </row>
    <row r="507" spans="1:1">
      <c r="A507" s="473" t="s">
        <v>1912</v>
      </c>
    </row>
    <row r="508" spans="1:1">
      <c r="A508" s="473" t="s">
        <v>1834</v>
      </c>
    </row>
    <row r="509" spans="1:1">
      <c r="A509" s="473" t="s">
        <v>1913</v>
      </c>
    </row>
    <row r="510" spans="1:1">
      <c r="A510" s="473" t="s">
        <v>1799</v>
      </c>
    </row>
    <row r="511" spans="1:1">
      <c r="A511" s="473" t="s">
        <v>1914</v>
      </c>
    </row>
    <row r="512" spans="1:1">
      <c r="A512" s="473" t="s">
        <v>1915</v>
      </c>
    </row>
    <row r="513" spans="1:1">
      <c r="A513" s="473" t="s">
        <v>1916</v>
      </c>
    </row>
    <row r="514" spans="1:1">
      <c r="A514" s="473" t="s">
        <v>1917</v>
      </c>
    </row>
    <row r="515" spans="1:1">
      <c r="A515" s="473" t="s">
        <v>1918</v>
      </c>
    </row>
    <row r="516" spans="1:1">
      <c r="A516" s="473" t="s">
        <v>1735</v>
      </c>
    </row>
    <row r="517" spans="1:1">
      <c r="A517" s="473" t="s">
        <v>1860</v>
      </c>
    </row>
    <row r="518" spans="1:1">
      <c r="A518" s="473" t="s">
        <v>1806</v>
      </c>
    </row>
    <row r="519" spans="1:1">
      <c r="A519" s="473" t="s">
        <v>1738</v>
      </c>
    </row>
    <row r="521" spans="1:1">
      <c r="A521" s="395" t="s">
        <v>1188</v>
      </c>
    </row>
    <row r="522" spans="1:1">
      <c r="A522" s="473" t="s">
        <v>1739</v>
      </c>
    </row>
    <row r="523" spans="1:1">
      <c r="A523" s="473" t="s">
        <v>1740</v>
      </c>
    </row>
    <row r="524" spans="1:1">
      <c r="A524" s="473" t="s">
        <v>1919</v>
      </c>
    </row>
    <row r="526" spans="1:1">
      <c r="A526" s="472" t="s">
        <v>1262</v>
      </c>
    </row>
    <row r="527" spans="1:1">
      <c r="A527" s="394" t="s">
        <v>1257</v>
      </c>
    </row>
    <row r="528" spans="1:1">
      <c r="A528" s="472" t="s">
        <v>1263</v>
      </c>
    </row>
    <row r="529" spans="1:1">
      <c r="A529" s="472" t="s">
        <v>1262</v>
      </c>
    </row>
    <row r="530" spans="1:1">
      <c r="A530" s="472" t="s">
        <v>1264</v>
      </c>
    </row>
    <row r="531" spans="1:1">
      <c r="A531" s="472" t="s">
        <v>1265</v>
      </c>
    </row>
    <row r="532" spans="1:1">
      <c r="A532" s="472" t="s">
        <v>1266</v>
      </c>
    </row>
    <row r="533" spans="1:1">
      <c r="A533" s="471" t="s">
        <v>1267</v>
      </c>
    </row>
    <row r="534" spans="1:1">
      <c r="A534" s="471" t="s">
        <v>1268</v>
      </c>
    </row>
    <row r="537" spans="1:1">
      <c r="A537" s="394" t="s">
        <v>1181</v>
      </c>
    </row>
    <row r="538" spans="1:1">
      <c r="A538" s="473" t="s">
        <v>1920</v>
      </c>
    </row>
    <row r="539" spans="1:1">
      <c r="A539" s="473" t="s">
        <v>1743</v>
      </c>
    </row>
    <row r="540" spans="1:1">
      <c r="A540" s="473" t="s">
        <v>1921</v>
      </c>
    </row>
    <row r="541" spans="1:1">
      <c r="A541" s="473" t="s">
        <v>1765</v>
      </c>
    </row>
    <row r="542" spans="1:1">
      <c r="A542" s="473" t="s">
        <v>1922</v>
      </c>
    </row>
    <row r="543" spans="1:1">
      <c r="A543" s="473" t="s">
        <v>1923</v>
      </c>
    </row>
    <row r="544" spans="1:1">
      <c r="A544" s="473" t="s">
        <v>1790</v>
      </c>
    </row>
    <row r="545" spans="1:1">
      <c r="A545" s="473" t="s">
        <v>1924</v>
      </c>
    </row>
    <row r="546" spans="1:1">
      <c r="A546" s="394" t="s">
        <v>1182</v>
      </c>
    </row>
    <row r="547" spans="1:1">
      <c r="A547" s="471" t="s">
        <v>1269</v>
      </c>
    </row>
    <row r="548" spans="1:1">
      <c r="A548" s="471" t="s">
        <v>1270</v>
      </c>
    </row>
    <row r="549" spans="1:1">
      <c r="A549" s="471" t="s">
        <v>1271</v>
      </c>
    </row>
    <row r="550" spans="1:1">
      <c r="A550" s="394" t="s">
        <v>1186</v>
      </c>
    </row>
    <row r="551" spans="1:1">
      <c r="A551" s="473" t="s">
        <v>1749</v>
      </c>
    </row>
    <row r="552" spans="1:1">
      <c r="A552" s="473" t="s">
        <v>1925</v>
      </c>
    </row>
    <row r="553" spans="1:1">
      <c r="A553" s="473" t="s">
        <v>1885</v>
      </c>
    </row>
    <row r="554" spans="1:1">
      <c r="A554" s="473" t="s">
        <v>1926</v>
      </c>
    </row>
    <row r="555" spans="1:1">
      <c r="A555" s="473" t="s">
        <v>1795</v>
      </c>
    </row>
    <row r="557" spans="1:1">
      <c r="A557" s="395" t="s">
        <v>1187</v>
      </c>
    </row>
    <row r="558" spans="1:1">
      <c r="A558" s="473" t="s">
        <v>1912</v>
      </c>
    </row>
    <row r="559" spans="1:1">
      <c r="A559" s="473" t="s">
        <v>1927</v>
      </c>
    </row>
    <row r="560" spans="1:1">
      <c r="A560" s="473" t="s">
        <v>1913</v>
      </c>
    </row>
    <row r="561" spans="1:1">
      <c r="A561" s="473" t="s">
        <v>1799</v>
      </c>
    </row>
    <row r="562" spans="1:1">
      <c r="A562" s="473" t="s">
        <v>1928</v>
      </c>
    </row>
    <row r="563" spans="1:1">
      <c r="A563" s="473" t="s">
        <v>1801</v>
      </c>
    </row>
    <row r="564" spans="1:1">
      <c r="A564" s="473" t="s">
        <v>1929</v>
      </c>
    </row>
    <row r="565" spans="1:1">
      <c r="A565" s="473" t="s">
        <v>1930</v>
      </c>
    </row>
    <row r="566" spans="1:1">
      <c r="A566" s="473" t="s">
        <v>1759</v>
      </c>
    </row>
    <row r="567" spans="1:1">
      <c r="A567" s="473" t="s">
        <v>1931</v>
      </c>
    </row>
    <row r="568" spans="1:1">
      <c r="A568" s="473" t="s">
        <v>1736</v>
      </c>
    </row>
    <row r="569" spans="1:1">
      <c r="A569" s="473" t="s">
        <v>1806</v>
      </c>
    </row>
    <row r="570" spans="1:1">
      <c r="A570" s="473" t="s">
        <v>1861</v>
      </c>
    </row>
    <row r="572" spans="1:1">
      <c r="A572" s="395" t="s">
        <v>1188</v>
      </c>
    </row>
    <row r="573" spans="1:1">
      <c r="A573" s="473" t="s">
        <v>1739</v>
      </c>
    </row>
    <row r="574" spans="1:1">
      <c r="A574" s="473" t="s">
        <v>1740</v>
      </c>
    </row>
    <row r="575" spans="1:1">
      <c r="A575" s="473" t="s">
        <v>1932</v>
      </c>
    </row>
    <row r="576" spans="1:1">
      <c r="A576" s="473" t="s">
        <v>1933</v>
      </c>
    </row>
    <row r="578" spans="1:1">
      <c r="A578" s="472" t="s">
        <v>1272</v>
      </c>
    </row>
    <row r="579" spans="1:1">
      <c r="A579" s="394" t="s">
        <v>1257</v>
      </c>
    </row>
    <row r="580" spans="1:1">
      <c r="A580" s="472" t="s">
        <v>1273</v>
      </c>
    </row>
    <row r="583" spans="1:1">
      <c r="A583" s="394" t="s">
        <v>1181</v>
      </c>
    </row>
    <row r="584" spans="1:1">
      <c r="A584" s="473" t="s">
        <v>1934</v>
      </c>
    </row>
    <row r="585" spans="1:1">
      <c r="A585" s="473" t="s">
        <v>1935</v>
      </c>
    </row>
    <row r="586" spans="1:1">
      <c r="A586" s="473" t="s">
        <v>1936</v>
      </c>
    </row>
    <row r="587" spans="1:1">
      <c r="A587" s="473" t="s">
        <v>1937</v>
      </c>
    </row>
    <row r="588" spans="1:1">
      <c r="A588" s="473" t="s">
        <v>1938</v>
      </c>
    </row>
    <row r="589" spans="1:1">
      <c r="A589" s="473" t="s">
        <v>1939</v>
      </c>
    </row>
    <row r="590" spans="1:1">
      <c r="A590" s="473" t="s">
        <v>1790</v>
      </c>
    </row>
    <row r="591" spans="1:1">
      <c r="A591" s="473" t="s">
        <v>1940</v>
      </c>
    </row>
    <row r="592" spans="1:1">
      <c r="A592" s="394" t="s">
        <v>1182</v>
      </c>
    </row>
    <row r="593" spans="1:1">
      <c r="A593" s="471" t="s">
        <v>1274</v>
      </c>
    </row>
    <row r="594" spans="1:1">
      <c r="A594" s="471" t="s">
        <v>1275</v>
      </c>
    </row>
    <row r="595" spans="1:1">
      <c r="A595" s="471" t="s">
        <v>1276</v>
      </c>
    </row>
    <row r="596" spans="1:1">
      <c r="A596" s="394" t="s">
        <v>1186</v>
      </c>
    </row>
    <row r="597" spans="1:1">
      <c r="A597" s="473" t="s">
        <v>1941</v>
      </c>
    </row>
    <row r="598" spans="1:1">
      <c r="A598" s="473" t="s">
        <v>1925</v>
      </c>
    </row>
    <row r="599" spans="1:1">
      <c r="A599" s="473" t="s">
        <v>1723</v>
      </c>
    </row>
    <row r="600" spans="1:1">
      <c r="A600" s="473" t="s">
        <v>1942</v>
      </c>
    </row>
    <row r="601" spans="1:1">
      <c r="A601" s="473" t="s">
        <v>1795</v>
      </c>
    </row>
    <row r="603" spans="1:1">
      <c r="A603" s="395" t="s">
        <v>1187</v>
      </c>
    </row>
    <row r="604" spans="1:1">
      <c r="A604" s="473" t="s">
        <v>1943</v>
      </c>
    </row>
    <row r="605" spans="1:1">
      <c r="A605" s="473" t="s">
        <v>1944</v>
      </c>
    </row>
    <row r="606" spans="1:1">
      <c r="A606" s="473" t="s">
        <v>1945</v>
      </c>
    </row>
    <row r="607" spans="1:1">
      <c r="A607" s="473" t="s">
        <v>1799</v>
      </c>
    </row>
    <row r="608" spans="1:1">
      <c r="A608" s="473" t="s">
        <v>1946</v>
      </c>
    </row>
    <row r="609" spans="1:1">
      <c r="A609" s="473" t="s">
        <v>1801</v>
      </c>
    </row>
    <row r="610" spans="1:1">
      <c r="A610" s="473" t="s">
        <v>1947</v>
      </c>
    </row>
    <row r="611" spans="1:1">
      <c r="A611" s="473" t="s">
        <v>1948</v>
      </c>
    </row>
    <row r="612" spans="1:1">
      <c r="A612" s="473" t="s">
        <v>1949</v>
      </c>
    </row>
    <row r="613" spans="1:1">
      <c r="A613" s="473" t="s">
        <v>1950</v>
      </c>
    </row>
    <row r="614" spans="1:1">
      <c r="A614" s="473" t="s">
        <v>1931</v>
      </c>
    </row>
    <row r="615" spans="1:1">
      <c r="A615" s="473" t="s">
        <v>1736</v>
      </c>
    </row>
    <row r="616" spans="1:1">
      <c r="A616" s="473" t="s">
        <v>1806</v>
      </c>
    </row>
    <row r="617" spans="1:1">
      <c r="A617" s="473" t="s">
        <v>1738</v>
      </c>
    </row>
    <row r="619" spans="1:1">
      <c r="A619" s="395" t="s">
        <v>1188</v>
      </c>
    </row>
    <row r="620" spans="1:1">
      <c r="A620" s="473" t="s">
        <v>1739</v>
      </c>
    </row>
    <row r="621" spans="1:1">
      <c r="A621" s="473" t="s">
        <v>1740</v>
      </c>
    </row>
    <row r="622" spans="1:1">
      <c r="A622" s="473" t="s">
        <v>1951</v>
      </c>
    </row>
    <row r="623" spans="1:1">
      <c r="A623" s="473" t="s">
        <v>1952</v>
      </c>
    </row>
    <row r="625" spans="1:1">
      <c r="A625" s="472" t="s">
        <v>407</v>
      </c>
    </row>
    <row r="626" spans="1:1">
      <c r="A626" s="394" t="s">
        <v>1277</v>
      </c>
    </row>
    <row r="627" spans="1:1">
      <c r="A627" s="472" t="s">
        <v>1278</v>
      </c>
    </row>
    <row r="630" spans="1:1">
      <c r="A630" s="394" t="s">
        <v>1181</v>
      </c>
    </row>
    <row r="631" spans="1:1">
      <c r="A631" s="473" t="s">
        <v>1953</v>
      </c>
    </row>
    <row r="632" spans="1:1">
      <c r="A632" s="473" t="s">
        <v>1716</v>
      </c>
    </row>
    <row r="633" spans="1:1">
      <c r="A633" s="473" t="s">
        <v>1954</v>
      </c>
    </row>
    <row r="634" spans="1:1">
      <c r="A634" s="473" t="s">
        <v>1955</v>
      </c>
    </row>
    <row r="635" spans="1:1">
      <c r="A635" s="473" t="s">
        <v>1956</v>
      </c>
    </row>
    <row r="636" spans="1:1">
      <c r="A636" s="473" t="s">
        <v>1747</v>
      </c>
    </row>
    <row r="637" spans="1:1">
      <c r="A637" s="473" t="s">
        <v>1719</v>
      </c>
    </row>
    <row r="638" spans="1:1">
      <c r="A638" s="473" t="s">
        <v>1957</v>
      </c>
    </row>
    <row r="639" spans="1:1">
      <c r="A639" s="394" t="s">
        <v>1182</v>
      </c>
    </row>
    <row r="640" spans="1:1">
      <c r="A640" s="471" t="s">
        <v>1279</v>
      </c>
    </row>
    <row r="641" spans="1:1">
      <c r="A641" s="471" t="s">
        <v>1280</v>
      </c>
    </row>
    <row r="642" spans="1:1">
      <c r="A642" s="471" t="s">
        <v>1281</v>
      </c>
    </row>
    <row r="643" spans="1:1">
      <c r="A643" s="394" t="s">
        <v>1186</v>
      </c>
    </row>
    <row r="644" spans="1:1">
      <c r="A644" s="473" t="s">
        <v>1721</v>
      </c>
    </row>
    <row r="645" spans="1:1">
      <c r="A645" s="473" t="s">
        <v>1722</v>
      </c>
    </row>
    <row r="646" spans="1:1">
      <c r="A646" s="473" t="s">
        <v>1723</v>
      </c>
    </row>
    <row r="647" spans="1:1">
      <c r="A647" s="473" t="s">
        <v>1958</v>
      </c>
    </row>
    <row r="648" spans="1:1">
      <c r="A648" s="473" t="s">
        <v>1959</v>
      </c>
    </row>
    <row r="649" spans="1:1">
      <c r="A649" s="473" t="s">
        <v>1725</v>
      </c>
    </row>
    <row r="651" spans="1:1">
      <c r="A651" s="395" t="s">
        <v>1187</v>
      </c>
    </row>
    <row r="652" spans="1:1">
      <c r="A652" s="473" t="s">
        <v>1960</v>
      </c>
    </row>
    <row r="653" spans="1:1">
      <c r="A653" s="473" t="s">
        <v>1961</v>
      </c>
    </row>
    <row r="654" spans="1:1">
      <c r="A654" s="473" t="s">
        <v>1962</v>
      </c>
    </row>
    <row r="655" spans="1:1">
      <c r="A655" s="473" t="s">
        <v>1729</v>
      </c>
    </row>
    <row r="656" spans="1:1">
      <c r="A656" s="473" t="s">
        <v>1963</v>
      </c>
    </row>
    <row r="657" spans="1:1">
      <c r="A657" s="473" t="s">
        <v>1964</v>
      </c>
    </row>
    <row r="658" spans="1:1">
      <c r="A658" s="473" t="s">
        <v>1757</v>
      </c>
    </row>
    <row r="659" spans="1:1">
      <c r="A659" s="473" t="s">
        <v>1965</v>
      </c>
    </row>
    <row r="660" spans="1:1">
      <c r="A660" s="473" t="s">
        <v>1966</v>
      </c>
    </row>
    <row r="661" spans="1:1">
      <c r="A661" s="473" t="s">
        <v>1735</v>
      </c>
    </row>
    <row r="662" spans="1:1">
      <c r="A662" s="473" t="s">
        <v>1967</v>
      </c>
    </row>
    <row r="663" spans="1:1">
      <c r="A663" s="473" t="s">
        <v>1806</v>
      </c>
    </row>
    <row r="664" spans="1:1">
      <c r="A664" s="473" t="s">
        <v>1968</v>
      </c>
    </row>
    <row r="666" spans="1:1">
      <c r="A666" s="395" t="s">
        <v>1188</v>
      </c>
    </row>
    <row r="667" spans="1:1">
      <c r="A667" s="473" t="s">
        <v>1739</v>
      </c>
    </row>
    <row r="668" spans="1:1">
      <c r="A668" s="473" t="s">
        <v>1740</v>
      </c>
    </row>
    <row r="669" spans="1:1">
      <c r="A669" s="473" t="s">
        <v>1969</v>
      </c>
    </row>
    <row r="671" spans="1:1">
      <c r="A671" s="472" t="s">
        <v>1282</v>
      </c>
    </row>
    <row r="672" spans="1:1">
      <c r="A672" s="394" t="s">
        <v>1277</v>
      </c>
    </row>
    <row r="673" spans="1:1">
      <c r="A673" s="472" t="s">
        <v>1283</v>
      </c>
    </row>
    <row r="674" spans="1:1">
      <c r="A674" s="472" t="s">
        <v>1284</v>
      </c>
    </row>
    <row r="675" spans="1:1">
      <c r="A675" s="472" t="s">
        <v>1285</v>
      </c>
    </row>
    <row r="676" spans="1:1">
      <c r="A676" s="472" t="s">
        <v>1286</v>
      </c>
    </row>
    <row r="677" spans="1:1">
      <c r="A677" s="472" t="s">
        <v>1287</v>
      </c>
    </row>
    <row r="678" spans="1:1">
      <c r="A678" s="472" t="s">
        <v>1288</v>
      </c>
    </row>
    <row r="679" spans="1:1">
      <c r="A679" s="471" t="s">
        <v>1289</v>
      </c>
    </row>
    <row r="680" spans="1:1">
      <c r="A680" s="471" t="s">
        <v>1290</v>
      </c>
    </row>
    <row r="683" spans="1:1">
      <c r="A683" s="394" t="s">
        <v>1181</v>
      </c>
    </row>
    <row r="684" spans="1:1">
      <c r="A684" s="473" t="s">
        <v>1970</v>
      </c>
    </row>
    <row r="685" spans="1:1">
      <c r="A685" s="473" t="s">
        <v>1716</v>
      </c>
    </row>
    <row r="686" spans="1:1">
      <c r="A686" s="473" t="s">
        <v>1971</v>
      </c>
    </row>
    <row r="687" spans="1:1">
      <c r="A687" s="473" t="s">
        <v>1972</v>
      </c>
    </row>
    <row r="688" spans="1:1">
      <c r="A688" s="473" t="s">
        <v>1973</v>
      </c>
    </row>
    <row r="689" spans="1:1">
      <c r="A689" s="473" t="s">
        <v>1747</v>
      </c>
    </row>
    <row r="690" spans="1:1">
      <c r="A690" s="473" t="s">
        <v>1719</v>
      </c>
    </row>
    <row r="691" spans="1:1">
      <c r="A691" s="473" t="s">
        <v>1974</v>
      </c>
    </row>
    <row r="692" spans="1:1">
      <c r="A692" s="394" t="s">
        <v>1182</v>
      </c>
    </row>
    <row r="693" spans="1:1">
      <c r="A693" s="471" t="s">
        <v>1291</v>
      </c>
    </row>
    <row r="694" spans="1:1">
      <c r="A694" s="471" t="s">
        <v>1292</v>
      </c>
    </row>
    <row r="695" spans="1:1">
      <c r="A695" s="471" t="s">
        <v>1293</v>
      </c>
    </row>
    <row r="696" spans="1:1">
      <c r="A696" s="394" t="s">
        <v>1186</v>
      </c>
    </row>
    <row r="697" spans="1:1">
      <c r="A697" s="473" t="s">
        <v>1975</v>
      </c>
    </row>
    <row r="698" spans="1:1">
      <c r="A698" s="473" t="s">
        <v>1722</v>
      </c>
    </row>
    <row r="699" spans="1:1">
      <c r="A699" s="473" t="s">
        <v>1723</v>
      </c>
    </row>
    <row r="700" spans="1:1">
      <c r="A700" s="473" t="s">
        <v>1794</v>
      </c>
    </row>
    <row r="701" spans="1:1">
      <c r="A701" s="473" t="s">
        <v>1795</v>
      </c>
    </row>
    <row r="703" spans="1:1">
      <c r="A703" s="395" t="s">
        <v>1187</v>
      </c>
    </row>
    <row r="704" spans="1:1">
      <c r="A704" s="473" t="s">
        <v>1976</v>
      </c>
    </row>
    <row r="705" spans="1:1">
      <c r="A705" s="473" t="s">
        <v>1977</v>
      </c>
    </row>
    <row r="706" spans="1:1">
      <c r="A706" s="473" t="s">
        <v>1978</v>
      </c>
    </row>
    <row r="707" spans="1:1">
      <c r="A707" s="473" t="s">
        <v>1799</v>
      </c>
    </row>
    <row r="708" spans="1:1">
      <c r="A708" s="473" t="s">
        <v>1979</v>
      </c>
    </row>
    <row r="709" spans="1:1">
      <c r="A709" s="473" t="s">
        <v>1980</v>
      </c>
    </row>
    <row r="710" spans="1:1">
      <c r="A710" s="473" t="s">
        <v>1981</v>
      </c>
    </row>
    <row r="711" spans="1:1">
      <c r="A711" s="473" t="s">
        <v>1982</v>
      </c>
    </row>
    <row r="712" spans="1:1">
      <c r="A712" s="473" t="s">
        <v>1822</v>
      </c>
    </row>
    <row r="713" spans="1:1">
      <c r="A713" s="473" t="s">
        <v>1735</v>
      </c>
    </row>
    <row r="714" spans="1:1">
      <c r="A714" s="473" t="s">
        <v>1736</v>
      </c>
    </row>
    <row r="715" spans="1:1">
      <c r="A715" s="473" t="s">
        <v>1780</v>
      </c>
    </row>
    <row r="716" spans="1:1">
      <c r="A716" s="473" t="s">
        <v>1983</v>
      </c>
    </row>
    <row r="718" spans="1:1">
      <c r="A718" s="395" t="s">
        <v>1188</v>
      </c>
    </row>
    <row r="719" spans="1:1">
      <c r="A719" s="473" t="s">
        <v>1739</v>
      </c>
    </row>
    <row r="720" spans="1:1">
      <c r="A720" s="473" t="s">
        <v>1740</v>
      </c>
    </row>
    <row r="721" spans="1:1">
      <c r="A721" s="473" t="s">
        <v>1984</v>
      </c>
    </row>
    <row r="722" spans="1:1">
      <c r="A722" s="473" t="s">
        <v>1985</v>
      </c>
    </row>
    <row r="724" spans="1:1">
      <c r="A724" s="472" t="s">
        <v>1294</v>
      </c>
    </row>
    <row r="725" spans="1:1">
      <c r="A725" s="394" t="s">
        <v>1277</v>
      </c>
    </row>
    <row r="726" spans="1:1">
      <c r="A726" s="472" t="s">
        <v>1295</v>
      </c>
    </row>
    <row r="727" spans="1:1">
      <c r="A727" s="472" t="s">
        <v>1296</v>
      </c>
    </row>
    <row r="728" spans="1:1">
      <c r="A728" s="472" t="s">
        <v>1297</v>
      </c>
    </row>
    <row r="729" spans="1:1">
      <c r="A729" s="472" t="s">
        <v>1298</v>
      </c>
    </row>
    <row r="730" spans="1:1">
      <c r="A730" s="472" t="s">
        <v>1299</v>
      </c>
    </row>
    <row r="731" spans="1:1">
      <c r="A731" s="472" t="s">
        <v>1300</v>
      </c>
    </row>
    <row r="732" spans="1:1">
      <c r="A732" s="471" t="s">
        <v>1301</v>
      </c>
    </row>
    <row r="733" spans="1:1">
      <c r="A733" s="471" t="s">
        <v>1302</v>
      </c>
    </row>
    <row r="736" spans="1:1">
      <c r="A736" s="394" t="s">
        <v>1181</v>
      </c>
    </row>
    <row r="737" spans="1:1">
      <c r="A737" s="473" t="s">
        <v>1986</v>
      </c>
    </row>
    <row r="738" spans="1:1">
      <c r="A738" s="473" t="s">
        <v>1863</v>
      </c>
    </row>
    <row r="739" spans="1:1">
      <c r="A739" s="473" t="s">
        <v>1987</v>
      </c>
    </row>
    <row r="740" spans="1:1">
      <c r="A740" s="473" t="s">
        <v>1988</v>
      </c>
    </row>
    <row r="741" spans="1:1">
      <c r="A741" s="473" t="s">
        <v>1989</v>
      </c>
    </row>
    <row r="742" spans="1:1">
      <c r="A742" s="473" t="s">
        <v>1990</v>
      </c>
    </row>
    <row r="743" spans="1:1">
      <c r="A743" s="473" t="s">
        <v>1719</v>
      </c>
    </row>
    <row r="744" spans="1:1">
      <c r="A744" s="473" t="s">
        <v>1991</v>
      </c>
    </row>
    <row r="745" spans="1:1">
      <c r="A745" s="394" t="s">
        <v>1182</v>
      </c>
    </row>
    <row r="746" spans="1:1">
      <c r="A746" s="471" t="s">
        <v>1303</v>
      </c>
    </row>
    <row r="747" spans="1:1">
      <c r="A747" s="471" t="s">
        <v>1304</v>
      </c>
    </row>
    <row r="748" spans="1:1">
      <c r="A748" s="471" t="s">
        <v>1305</v>
      </c>
    </row>
    <row r="749" spans="1:1">
      <c r="A749" s="394" t="s">
        <v>1186</v>
      </c>
    </row>
    <row r="750" spans="1:1">
      <c r="A750" s="473" t="s">
        <v>1992</v>
      </c>
    </row>
    <row r="751" spans="1:1">
      <c r="A751" s="473" t="s">
        <v>1722</v>
      </c>
    </row>
    <row r="752" spans="1:1">
      <c r="A752" s="473" t="s">
        <v>1993</v>
      </c>
    </row>
    <row r="753" spans="1:1">
      <c r="A753" s="473" t="s">
        <v>1958</v>
      </c>
    </row>
    <row r="754" spans="1:1">
      <c r="A754" s="473" t="s">
        <v>1994</v>
      </c>
    </row>
    <row r="755" spans="1:1">
      <c r="A755" s="473" t="s">
        <v>1725</v>
      </c>
    </row>
    <row r="757" spans="1:1">
      <c r="A757" s="395" t="s">
        <v>1187</v>
      </c>
    </row>
    <row r="758" spans="1:1">
      <c r="A758" s="473" t="s">
        <v>1995</v>
      </c>
    </row>
    <row r="759" spans="1:1">
      <c r="A759" s="473" t="s">
        <v>1996</v>
      </c>
    </row>
    <row r="760" spans="1:1">
      <c r="A760" s="473" t="s">
        <v>1997</v>
      </c>
    </row>
    <row r="761" spans="1:1">
      <c r="A761" s="473" t="s">
        <v>1729</v>
      </c>
    </row>
    <row r="762" spans="1:1">
      <c r="A762" s="473" t="s">
        <v>1998</v>
      </c>
    </row>
    <row r="763" spans="1:1">
      <c r="A763" s="473" t="s">
        <v>1980</v>
      </c>
    </row>
    <row r="764" spans="1:1">
      <c r="A764" s="473" t="s">
        <v>1999</v>
      </c>
    </row>
    <row r="765" spans="1:1">
      <c r="A765" s="473" t="s">
        <v>2000</v>
      </c>
    </row>
    <row r="766" spans="1:1">
      <c r="A766" s="473" t="s">
        <v>1734</v>
      </c>
    </row>
    <row r="767" spans="1:1">
      <c r="A767" s="473" t="s">
        <v>1735</v>
      </c>
    </row>
    <row r="768" spans="1:1">
      <c r="A768" s="473" t="s">
        <v>2001</v>
      </c>
    </row>
    <row r="769" spans="1:1">
      <c r="A769" s="473" t="s">
        <v>1806</v>
      </c>
    </row>
    <row r="770" spans="1:1">
      <c r="A770" s="473" t="s">
        <v>1738</v>
      </c>
    </row>
    <row r="772" spans="1:1">
      <c r="A772" s="395" t="s">
        <v>1188</v>
      </c>
    </row>
    <row r="773" spans="1:1">
      <c r="A773" s="473" t="s">
        <v>1739</v>
      </c>
    </row>
    <row r="774" spans="1:1">
      <c r="A774" s="473" t="s">
        <v>1782</v>
      </c>
    </row>
    <row r="775" spans="1:1">
      <c r="A775" s="473" t="s">
        <v>2002</v>
      </c>
    </row>
    <row r="777" spans="1:1">
      <c r="A777" s="472" t="s">
        <v>1306</v>
      </c>
    </row>
    <row r="778" spans="1:1">
      <c r="A778" s="394" t="s">
        <v>1277</v>
      </c>
    </row>
    <row r="779" spans="1:1">
      <c r="A779" s="472" t="s">
        <v>1307</v>
      </c>
    </row>
    <row r="782" spans="1:1">
      <c r="A782" s="394" t="s">
        <v>1181</v>
      </c>
    </row>
    <row r="783" spans="1:1">
      <c r="A783" s="473" t="s">
        <v>2003</v>
      </c>
    </row>
    <row r="784" spans="1:1">
      <c r="A784" s="473" t="s">
        <v>1763</v>
      </c>
    </row>
    <row r="785" spans="1:1">
      <c r="A785" s="473" t="s">
        <v>2004</v>
      </c>
    </row>
    <row r="786" spans="1:1">
      <c r="A786" s="473" t="s">
        <v>1955</v>
      </c>
    </row>
    <row r="787" spans="1:1">
      <c r="A787" s="473" t="s">
        <v>2005</v>
      </c>
    </row>
    <row r="788" spans="1:1">
      <c r="A788" s="473" t="s">
        <v>2006</v>
      </c>
    </row>
    <row r="789" spans="1:1">
      <c r="A789" s="473" t="s">
        <v>1719</v>
      </c>
    </row>
    <row r="790" spans="1:1">
      <c r="A790" s="473" t="s">
        <v>2007</v>
      </c>
    </row>
    <row r="791" spans="1:1">
      <c r="A791" s="394" t="s">
        <v>1182</v>
      </c>
    </row>
    <row r="792" spans="1:1">
      <c r="A792" s="471" t="s">
        <v>1308</v>
      </c>
    </row>
    <row r="793" spans="1:1">
      <c r="A793" s="471" t="s">
        <v>1309</v>
      </c>
    </row>
    <row r="794" spans="1:1">
      <c r="A794" s="471" t="s">
        <v>1310</v>
      </c>
    </row>
    <row r="795" spans="1:1">
      <c r="A795" s="394" t="s">
        <v>1186</v>
      </c>
    </row>
    <row r="796" spans="1:1">
      <c r="A796" s="473" t="s">
        <v>1992</v>
      </c>
    </row>
    <row r="797" spans="1:1">
      <c r="A797" s="473" t="s">
        <v>1311</v>
      </c>
    </row>
    <row r="798" spans="1:1">
      <c r="A798" s="473" t="s">
        <v>2008</v>
      </c>
    </row>
    <row r="799" spans="1:1">
      <c r="A799" s="473" t="s">
        <v>2009</v>
      </c>
    </row>
    <row r="800" spans="1:1">
      <c r="A800" s="473" t="s">
        <v>1312</v>
      </c>
    </row>
    <row r="801" spans="1:1">
      <c r="A801" s="473" t="s">
        <v>1725</v>
      </c>
    </row>
    <row r="803" spans="1:1">
      <c r="A803" s="395" t="s">
        <v>1187</v>
      </c>
    </row>
    <row r="804" spans="1:1">
      <c r="A804" s="473" t="s">
        <v>2010</v>
      </c>
    </row>
    <row r="805" spans="1:1">
      <c r="A805" s="473" t="s">
        <v>2011</v>
      </c>
    </row>
    <row r="806" spans="1:1">
      <c r="A806" s="473" t="s">
        <v>2012</v>
      </c>
    </row>
    <row r="807" spans="1:1">
      <c r="A807" s="473" t="s">
        <v>1799</v>
      </c>
    </row>
    <row r="808" spans="1:1">
      <c r="A808" s="473" t="s">
        <v>2013</v>
      </c>
    </row>
    <row r="809" spans="1:1">
      <c r="A809" s="473" t="s">
        <v>2014</v>
      </c>
    </row>
    <row r="810" spans="1:1">
      <c r="A810" s="473" t="s">
        <v>2015</v>
      </c>
    </row>
    <row r="811" spans="1:1">
      <c r="A811" s="473" t="s">
        <v>2016</v>
      </c>
    </row>
    <row r="812" spans="1:1">
      <c r="A812" s="473" t="s">
        <v>2017</v>
      </c>
    </row>
    <row r="813" spans="1:1">
      <c r="A813" s="473" t="s">
        <v>2018</v>
      </c>
    </row>
    <row r="814" spans="1:1">
      <c r="A814" s="473" t="s">
        <v>1805</v>
      </c>
    </row>
    <row r="815" spans="1:1">
      <c r="A815" s="473" t="s">
        <v>1860</v>
      </c>
    </row>
    <row r="816" spans="1:1">
      <c r="A816" s="473" t="s">
        <v>1737</v>
      </c>
    </row>
    <row r="817" spans="1:1">
      <c r="A817" s="473" t="s">
        <v>2019</v>
      </c>
    </row>
    <row r="819" spans="1:1">
      <c r="A819" s="395" t="s">
        <v>1188</v>
      </c>
    </row>
    <row r="820" spans="1:1">
      <c r="A820" s="473" t="s">
        <v>1739</v>
      </c>
    </row>
    <row r="821" spans="1:1">
      <c r="A821" s="473" t="s">
        <v>1740</v>
      </c>
    </row>
    <row r="822" spans="1:1">
      <c r="A822" s="473" t="s">
        <v>2020</v>
      </c>
    </row>
    <row r="824" spans="1:1">
      <c r="A824" s="472" t="s">
        <v>1313</v>
      </c>
    </row>
    <row r="825" spans="1:1">
      <c r="A825" s="394" t="s">
        <v>1314</v>
      </c>
    </row>
    <row r="826" spans="1:1">
      <c r="A826" s="472" t="s">
        <v>1315</v>
      </c>
    </row>
    <row r="829" spans="1:1">
      <c r="A829" s="394" t="s">
        <v>1181</v>
      </c>
    </row>
    <row r="830" spans="1:1">
      <c r="A830" s="473" t="s">
        <v>2021</v>
      </c>
    </row>
    <row r="831" spans="1:1">
      <c r="A831" s="473" t="s">
        <v>2022</v>
      </c>
    </row>
    <row r="832" spans="1:1">
      <c r="A832" s="473" t="s">
        <v>2023</v>
      </c>
    </row>
    <row r="833" spans="1:1">
      <c r="A833" s="473" t="s">
        <v>2024</v>
      </c>
    </row>
    <row r="834" spans="1:1">
      <c r="A834" s="473" t="s">
        <v>2025</v>
      </c>
    </row>
    <row r="835" spans="1:1">
      <c r="A835" s="473" t="s">
        <v>2026</v>
      </c>
    </row>
    <row r="836" spans="1:1">
      <c r="A836" s="473" t="s">
        <v>1719</v>
      </c>
    </row>
    <row r="837" spans="1:1">
      <c r="A837" s="473" t="s">
        <v>2027</v>
      </c>
    </row>
    <row r="838" spans="1:1">
      <c r="A838" s="394" t="s">
        <v>1182</v>
      </c>
    </row>
    <row r="839" spans="1:1">
      <c r="A839" s="471" t="s">
        <v>1316</v>
      </c>
    </row>
    <row r="840" spans="1:1">
      <c r="A840" s="471" t="s">
        <v>1317</v>
      </c>
    </row>
    <row r="841" spans="1:1">
      <c r="A841" s="471" t="s">
        <v>1318</v>
      </c>
    </row>
    <row r="842" spans="1:1">
      <c r="A842" s="394" t="s">
        <v>1186</v>
      </c>
    </row>
    <row r="843" spans="1:1">
      <c r="A843" s="473" t="s">
        <v>2028</v>
      </c>
    </row>
    <row r="844" spans="1:1">
      <c r="A844" s="473" t="s">
        <v>1925</v>
      </c>
    </row>
    <row r="845" spans="1:1">
      <c r="A845" s="473" t="s">
        <v>2029</v>
      </c>
    </row>
    <row r="846" spans="1:1">
      <c r="A846" s="473" t="s">
        <v>1994</v>
      </c>
    </row>
    <row r="847" spans="1:1">
      <c r="A847" s="473" t="s">
        <v>1725</v>
      </c>
    </row>
    <row r="849" spans="1:1">
      <c r="A849" s="395" t="s">
        <v>1187</v>
      </c>
    </row>
    <row r="850" spans="1:1">
      <c r="A850" s="473" t="s">
        <v>2030</v>
      </c>
    </row>
    <row r="851" spans="1:1">
      <c r="A851" s="473" t="s">
        <v>2031</v>
      </c>
    </row>
    <row r="852" spans="1:1">
      <c r="A852" s="473" t="s">
        <v>2032</v>
      </c>
    </row>
    <row r="853" spans="1:1">
      <c r="A853" s="473" t="s">
        <v>2033</v>
      </c>
    </row>
    <row r="854" spans="1:1">
      <c r="A854" s="473" t="s">
        <v>2034</v>
      </c>
    </row>
    <row r="855" spans="1:1">
      <c r="A855" s="473" t="s">
        <v>1980</v>
      </c>
    </row>
    <row r="856" spans="1:1">
      <c r="A856" s="473" t="s">
        <v>2035</v>
      </c>
    </row>
    <row r="857" spans="1:1">
      <c r="A857" s="473" t="s">
        <v>2036</v>
      </c>
    </row>
    <row r="858" spans="1:1">
      <c r="A858" s="473" t="s">
        <v>1734</v>
      </c>
    </row>
    <row r="859" spans="1:1">
      <c r="A859" s="473" t="s">
        <v>1931</v>
      </c>
    </row>
    <row r="860" spans="1:1">
      <c r="A860" s="473" t="s">
        <v>1860</v>
      </c>
    </row>
    <row r="861" spans="1:1">
      <c r="A861" s="473" t="s">
        <v>1806</v>
      </c>
    </row>
    <row r="862" spans="1:1">
      <c r="A862" s="473" t="s">
        <v>1738</v>
      </c>
    </row>
    <row r="864" spans="1:1">
      <c r="A864" s="395" t="s">
        <v>1188</v>
      </c>
    </row>
    <row r="865" spans="1:1">
      <c r="A865" s="473" t="s">
        <v>1739</v>
      </c>
    </row>
    <row r="866" spans="1:1">
      <c r="A866" s="473" t="s">
        <v>1740</v>
      </c>
    </row>
    <row r="867" spans="1:1">
      <c r="A867" s="473" t="s">
        <v>2037</v>
      </c>
    </row>
    <row r="869" spans="1:1">
      <c r="A869" s="472" t="s">
        <v>395</v>
      </c>
    </row>
    <row r="870" spans="1:1">
      <c r="A870" s="394" t="s">
        <v>1314</v>
      </c>
    </row>
    <row r="871" spans="1:1">
      <c r="A871" s="472" t="s">
        <v>1319</v>
      </c>
    </row>
    <row r="872" spans="1:1">
      <c r="A872" s="472" t="s">
        <v>1320</v>
      </c>
    </row>
    <row r="873" spans="1:1">
      <c r="A873" s="472" t="s">
        <v>1321</v>
      </c>
    </row>
    <row r="874" spans="1:1">
      <c r="A874" s="472" t="s">
        <v>1322</v>
      </c>
    </row>
    <row r="875" spans="1:1">
      <c r="A875" s="472" t="s">
        <v>1323</v>
      </c>
    </row>
    <row r="876" spans="1:1">
      <c r="A876" s="472" t="s">
        <v>1324</v>
      </c>
    </row>
    <row r="877" spans="1:1">
      <c r="A877" s="471" t="s">
        <v>1325</v>
      </c>
    </row>
    <row r="878" spans="1:1">
      <c r="A878" s="471" t="s">
        <v>1326</v>
      </c>
    </row>
    <row r="881" spans="1:1">
      <c r="A881" s="394" t="s">
        <v>1181</v>
      </c>
    </row>
    <row r="882" spans="1:1">
      <c r="A882" s="473" t="s">
        <v>2038</v>
      </c>
    </row>
    <row r="883" spans="1:1">
      <c r="A883" s="473" t="s">
        <v>2039</v>
      </c>
    </row>
    <row r="884" spans="1:1">
      <c r="A884" s="473" t="s">
        <v>2040</v>
      </c>
    </row>
    <row r="885" spans="1:1">
      <c r="A885" s="473" t="s">
        <v>2041</v>
      </c>
    </row>
    <row r="886" spans="1:1">
      <c r="A886" s="473" t="s">
        <v>2042</v>
      </c>
    </row>
    <row r="887" spans="1:1">
      <c r="A887" s="473" t="s">
        <v>2043</v>
      </c>
    </row>
    <row r="888" spans="1:1">
      <c r="A888" s="473" t="s">
        <v>1830</v>
      </c>
    </row>
    <row r="889" spans="1:1">
      <c r="A889" s="473" t="s">
        <v>2044</v>
      </c>
    </row>
    <row r="890" spans="1:1">
      <c r="A890" s="394" t="s">
        <v>1182</v>
      </c>
    </row>
    <row r="891" spans="1:1">
      <c r="A891" s="471" t="s">
        <v>1327</v>
      </c>
    </row>
    <row r="892" spans="1:1">
      <c r="A892" s="471" t="s">
        <v>1328</v>
      </c>
    </row>
    <row r="893" spans="1:1">
      <c r="A893" s="471" t="s">
        <v>1329</v>
      </c>
    </row>
    <row r="894" spans="1:1">
      <c r="A894" s="394" t="s">
        <v>1186</v>
      </c>
    </row>
    <row r="895" spans="1:1">
      <c r="A895" s="473" t="s">
        <v>1749</v>
      </c>
    </row>
    <row r="896" spans="1:1">
      <c r="A896" s="473" t="s">
        <v>1722</v>
      </c>
    </row>
    <row r="897" spans="1:1">
      <c r="A897" s="473" t="s">
        <v>1769</v>
      </c>
    </row>
    <row r="898" spans="1:1">
      <c r="A898" s="473" t="s">
        <v>2045</v>
      </c>
    </row>
    <row r="899" spans="1:1">
      <c r="A899" s="473" t="s">
        <v>1770</v>
      </c>
    </row>
    <row r="900" spans="1:1">
      <c r="A900" s="473" t="s">
        <v>1725</v>
      </c>
    </row>
    <row r="902" spans="1:1">
      <c r="A902" s="395" t="s">
        <v>1187</v>
      </c>
    </row>
    <row r="903" spans="1:1">
      <c r="A903" s="473" t="s">
        <v>2046</v>
      </c>
    </row>
    <row r="904" spans="1:1">
      <c r="A904" s="473" t="s">
        <v>2047</v>
      </c>
    </row>
    <row r="905" spans="1:1">
      <c r="A905" s="473" t="s">
        <v>1835</v>
      </c>
    </row>
    <row r="906" spans="1:1">
      <c r="A906" s="473" t="s">
        <v>1874</v>
      </c>
    </row>
    <row r="907" spans="1:1">
      <c r="A907" s="473" t="s">
        <v>2048</v>
      </c>
    </row>
    <row r="908" spans="1:1">
      <c r="A908" s="473" t="s">
        <v>2049</v>
      </c>
    </row>
    <row r="909" spans="1:1">
      <c r="A909" s="473" t="s">
        <v>2050</v>
      </c>
    </row>
    <row r="910" spans="1:1">
      <c r="A910" s="473" t="s">
        <v>2051</v>
      </c>
    </row>
    <row r="911" spans="1:1">
      <c r="A911" s="473" t="s">
        <v>1918</v>
      </c>
    </row>
    <row r="912" spans="1:1">
      <c r="A912" s="473" t="s">
        <v>1735</v>
      </c>
    </row>
    <row r="913" spans="1:1">
      <c r="A913" s="473" t="s">
        <v>2052</v>
      </c>
    </row>
    <row r="914" spans="1:1">
      <c r="A914" s="473" t="s">
        <v>2053</v>
      </c>
    </row>
    <row r="915" spans="1:1">
      <c r="A915" s="473" t="s">
        <v>1738</v>
      </c>
    </row>
    <row r="917" spans="1:1">
      <c r="A917" s="395" t="s">
        <v>1188</v>
      </c>
    </row>
    <row r="918" spans="1:1">
      <c r="A918" s="473" t="s">
        <v>1781</v>
      </c>
    </row>
    <row r="919" spans="1:1">
      <c r="A919" s="473" t="s">
        <v>2054</v>
      </c>
    </row>
    <row r="920" spans="1:1">
      <c r="A920" s="473" t="s">
        <v>2055</v>
      </c>
    </row>
    <row r="921" spans="1:1">
      <c r="A921" s="473" t="s">
        <v>2056</v>
      </c>
    </row>
    <row r="923" spans="1:1">
      <c r="A923" s="472" t="s">
        <v>1330</v>
      </c>
    </row>
    <row r="924" spans="1:1">
      <c r="A924" s="394" t="s">
        <v>1314</v>
      </c>
    </row>
    <row r="925" spans="1:1">
      <c r="A925" s="472" t="s">
        <v>1331</v>
      </c>
    </row>
    <row r="928" spans="1:1">
      <c r="A928" s="394" t="s">
        <v>1181</v>
      </c>
    </row>
    <row r="929" spans="1:1">
      <c r="A929" s="473" t="s">
        <v>1742</v>
      </c>
    </row>
    <row r="930" spans="1:1">
      <c r="A930" s="473" t="s">
        <v>2057</v>
      </c>
    </row>
    <row r="931" spans="1:1">
      <c r="A931" s="473" t="s">
        <v>2058</v>
      </c>
    </row>
    <row r="932" spans="1:1">
      <c r="A932" s="473" t="s">
        <v>2059</v>
      </c>
    </row>
    <row r="933" spans="1:1">
      <c r="A933" s="473" t="s">
        <v>2060</v>
      </c>
    </row>
    <row r="934" spans="1:1">
      <c r="A934" s="473" t="s">
        <v>2061</v>
      </c>
    </row>
    <row r="935" spans="1:1">
      <c r="A935" s="473" t="s">
        <v>1719</v>
      </c>
    </row>
    <row r="936" spans="1:1">
      <c r="A936" s="473" t="s">
        <v>2062</v>
      </c>
    </row>
    <row r="937" spans="1:1">
      <c r="A937" s="394" t="s">
        <v>1182</v>
      </c>
    </row>
    <row r="938" spans="1:1">
      <c r="A938" s="471" t="s">
        <v>1332</v>
      </c>
    </row>
    <row r="939" spans="1:1">
      <c r="A939" s="471" t="s">
        <v>1333</v>
      </c>
    </row>
    <row r="940" spans="1:1">
      <c r="A940" s="471" t="s">
        <v>1334</v>
      </c>
    </row>
    <row r="941" spans="1:1">
      <c r="A941" s="394" t="s">
        <v>1186</v>
      </c>
    </row>
    <row r="942" spans="1:1">
      <c r="A942" s="473" t="s">
        <v>1749</v>
      </c>
    </row>
    <row r="943" spans="1:1">
      <c r="A943" s="473" t="s">
        <v>2063</v>
      </c>
    </row>
    <row r="944" spans="1:1">
      <c r="A944" s="473" t="s">
        <v>2008</v>
      </c>
    </row>
    <row r="945" spans="1:1">
      <c r="A945" s="473" t="s">
        <v>2064</v>
      </c>
    </row>
    <row r="946" spans="1:1">
      <c r="A946" s="473" t="s">
        <v>2065</v>
      </c>
    </row>
    <row r="947" spans="1:1">
      <c r="A947" s="473" t="s">
        <v>2066</v>
      </c>
    </row>
    <row r="949" spans="1:1">
      <c r="A949" s="395" t="s">
        <v>1187</v>
      </c>
    </row>
    <row r="950" spans="1:1">
      <c r="A950" s="473" t="s">
        <v>2067</v>
      </c>
    </row>
    <row r="951" spans="1:1">
      <c r="A951" s="473" t="s">
        <v>2068</v>
      </c>
    </row>
    <row r="952" spans="1:1">
      <c r="A952" s="473" t="s">
        <v>2069</v>
      </c>
    </row>
    <row r="953" spans="1:1">
      <c r="A953" s="473" t="s">
        <v>1729</v>
      </c>
    </row>
    <row r="954" spans="1:1">
      <c r="A954" s="473" t="s">
        <v>2070</v>
      </c>
    </row>
    <row r="955" spans="1:1">
      <c r="A955" s="473" t="s">
        <v>1837</v>
      </c>
    </row>
    <row r="956" spans="1:1">
      <c r="A956" s="473" t="s">
        <v>2071</v>
      </c>
    </row>
    <row r="957" spans="1:1">
      <c r="A957" s="473" t="s">
        <v>2072</v>
      </c>
    </row>
    <row r="958" spans="1:1">
      <c r="A958" s="473" t="s">
        <v>2073</v>
      </c>
    </row>
    <row r="959" spans="1:1">
      <c r="A959" s="473" t="s">
        <v>2074</v>
      </c>
    </row>
    <row r="960" spans="1:1">
      <c r="A960" s="473" t="s">
        <v>2075</v>
      </c>
    </row>
    <row r="961" spans="1:1">
      <c r="A961" s="473" t="s">
        <v>1860</v>
      </c>
    </row>
    <row r="962" spans="1:1">
      <c r="A962" s="473" t="s">
        <v>2053</v>
      </c>
    </row>
    <row r="963" spans="1:1">
      <c r="A963" s="473" t="s">
        <v>1738</v>
      </c>
    </row>
    <row r="965" spans="1:1">
      <c r="A965" s="395" t="s">
        <v>1188</v>
      </c>
    </row>
    <row r="966" spans="1:1">
      <c r="A966" s="473" t="s">
        <v>1739</v>
      </c>
    </row>
    <row r="967" spans="1:1">
      <c r="A967" s="473" t="s">
        <v>2076</v>
      </c>
    </row>
    <row r="968" spans="1:1">
      <c r="A968" s="473" t="s">
        <v>2077</v>
      </c>
    </row>
    <row r="969" spans="1:1">
      <c r="A969" s="473" t="s">
        <v>2078</v>
      </c>
    </row>
    <row r="971" spans="1:1">
      <c r="A971" s="472" t="s">
        <v>1335</v>
      </c>
    </row>
    <row r="972" spans="1:1">
      <c r="A972" s="394" t="s">
        <v>1314</v>
      </c>
    </row>
    <row r="973" spans="1:1">
      <c r="A973" s="472" t="s">
        <v>1336</v>
      </c>
    </row>
    <row r="976" spans="1:1">
      <c r="A976" s="394" t="s">
        <v>1181</v>
      </c>
    </row>
    <row r="977" spans="1:1">
      <c r="A977" s="473" t="s">
        <v>2079</v>
      </c>
    </row>
    <row r="978" spans="1:1">
      <c r="A978" s="473" t="s">
        <v>2080</v>
      </c>
    </row>
    <row r="979" spans="1:1">
      <c r="A979" s="473" t="s">
        <v>2081</v>
      </c>
    </row>
    <row r="980" spans="1:1">
      <c r="A980" s="473" t="s">
        <v>2082</v>
      </c>
    </row>
    <row r="981" spans="1:1">
      <c r="A981" s="473" t="s">
        <v>2083</v>
      </c>
    </row>
    <row r="982" spans="1:1">
      <c r="A982" s="473" t="s">
        <v>2061</v>
      </c>
    </row>
    <row r="983" spans="1:1">
      <c r="A983" s="473" t="s">
        <v>2084</v>
      </c>
    </row>
    <row r="984" spans="1:1">
      <c r="A984" s="473" t="s">
        <v>2085</v>
      </c>
    </row>
    <row r="985" spans="1:1">
      <c r="A985" s="394" t="s">
        <v>1182</v>
      </c>
    </row>
    <row r="986" spans="1:1">
      <c r="A986" s="471" t="s">
        <v>1337</v>
      </c>
    </row>
    <row r="987" spans="1:1">
      <c r="A987" s="471" t="s">
        <v>1338</v>
      </c>
    </row>
    <row r="988" spans="1:1">
      <c r="A988" s="471" t="s">
        <v>1339</v>
      </c>
    </row>
    <row r="989" spans="1:1">
      <c r="A989" s="394" t="s">
        <v>1186</v>
      </c>
    </row>
    <row r="990" spans="1:1">
      <c r="A990" s="473" t="s">
        <v>1749</v>
      </c>
    </row>
    <row r="991" spans="1:1">
      <c r="A991" s="473" t="s">
        <v>1925</v>
      </c>
    </row>
    <row r="992" spans="1:1">
      <c r="A992" s="473" t="s">
        <v>1993</v>
      </c>
    </row>
    <row r="993" spans="1:1">
      <c r="A993" s="473" t="s">
        <v>2086</v>
      </c>
    </row>
    <row r="994" spans="1:1">
      <c r="A994" s="473" t="s">
        <v>2065</v>
      </c>
    </row>
    <row r="995" spans="1:1">
      <c r="A995" s="473" t="s">
        <v>1851</v>
      </c>
    </row>
    <row r="997" spans="1:1">
      <c r="A997" s="395" t="s">
        <v>1187</v>
      </c>
    </row>
    <row r="998" spans="1:1">
      <c r="A998" s="473" t="s">
        <v>2087</v>
      </c>
    </row>
    <row r="999" spans="1:1">
      <c r="A999" s="473" t="s">
        <v>2088</v>
      </c>
    </row>
    <row r="1000" spans="1:1">
      <c r="A1000" s="473" t="s">
        <v>2089</v>
      </c>
    </row>
    <row r="1001" spans="1:1">
      <c r="A1001" s="473" t="s">
        <v>2090</v>
      </c>
    </row>
    <row r="1002" spans="1:1">
      <c r="A1002" s="473" t="s">
        <v>2091</v>
      </c>
    </row>
    <row r="1003" spans="1:1">
      <c r="A1003" s="473" t="s">
        <v>1837</v>
      </c>
    </row>
    <row r="1004" spans="1:1">
      <c r="A1004" s="473" t="s">
        <v>2092</v>
      </c>
    </row>
    <row r="1005" spans="1:1">
      <c r="A1005" s="473" t="s">
        <v>2093</v>
      </c>
    </row>
    <row r="1006" spans="1:1">
      <c r="A1006" s="473" t="s">
        <v>2074</v>
      </c>
    </row>
    <row r="1007" spans="1:1">
      <c r="A1007" s="473" t="s">
        <v>1931</v>
      </c>
    </row>
    <row r="1008" spans="1:1">
      <c r="A1008" s="473" t="s">
        <v>1736</v>
      </c>
    </row>
    <row r="1009" spans="1:1">
      <c r="A1009" s="473" t="s">
        <v>1780</v>
      </c>
    </row>
    <row r="1010" spans="1:1">
      <c r="A1010" s="473" t="s">
        <v>1738</v>
      </c>
    </row>
    <row r="1012" spans="1:1">
      <c r="A1012" s="395" t="s">
        <v>1188</v>
      </c>
    </row>
    <row r="1013" spans="1:1">
      <c r="A1013" s="473" t="s">
        <v>1781</v>
      </c>
    </row>
    <row r="1014" spans="1:1">
      <c r="A1014" s="473" t="s">
        <v>1740</v>
      </c>
    </row>
    <row r="1015" spans="1:1">
      <c r="A1015" s="473" t="s">
        <v>2094</v>
      </c>
    </row>
    <row r="1016" spans="1:1">
      <c r="A1016" s="473" t="s">
        <v>2095</v>
      </c>
    </row>
    <row r="1018" spans="1:1">
      <c r="A1018" s="472" t="s">
        <v>1340</v>
      </c>
    </row>
    <row r="1019" spans="1:1">
      <c r="A1019" s="394" t="s">
        <v>1314</v>
      </c>
    </row>
    <row r="1020" spans="1:1">
      <c r="A1020" s="472" t="s">
        <v>1341</v>
      </c>
    </row>
    <row r="1023" spans="1:1">
      <c r="A1023" s="394" t="s">
        <v>1181</v>
      </c>
    </row>
    <row r="1024" spans="1:1">
      <c r="A1024" s="473" t="s">
        <v>1842</v>
      </c>
    </row>
    <row r="1025" spans="1:1">
      <c r="A1025" s="473" t="s">
        <v>1763</v>
      </c>
    </row>
    <row r="1026" spans="1:1">
      <c r="A1026" s="473" t="s">
        <v>1827</v>
      </c>
    </row>
    <row r="1027" spans="1:1">
      <c r="A1027" s="473" t="s">
        <v>2096</v>
      </c>
    </row>
    <row r="1028" spans="1:1">
      <c r="A1028" s="473" t="s">
        <v>2097</v>
      </c>
    </row>
    <row r="1029" spans="1:1">
      <c r="A1029" s="473" t="s">
        <v>2098</v>
      </c>
    </row>
    <row r="1030" spans="1:1">
      <c r="A1030" s="473" t="s">
        <v>2099</v>
      </c>
    </row>
    <row r="1031" spans="1:1">
      <c r="A1031" s="473" t="s">
        <v>2100</v>
      </c>
    </row>
    <row r="1032" spans="1:1">
      <c r="A1032" s="394" t="s">
        <v>1182</v>
      </c>
    </row>
    <row r="1033" spans="1:1">
      <c r="A1033" s="471" t="s">
        <v>1342</v>
      </c>
    </row>
    <row r="1034" spans="1:1">
      <c r="A1034" s="471" t="s">
        <v>1343</v>
      </c>
    </row>
    <row r="1035" spans="1:1">
      <c r="A1035" s="471" t="s">
        <v>1344</v>
      </c>
    </row>
    <row r="1036" spans="1:1">
      <c r="A1036" s="394" t="s">
        <v>1186</v>
      </c>
    </row>
    <row r="1037" spans="1:1">
      <c r="A1037" s="473" t="s">
        <v>1749</v>
      </c>
    </row>
    <row r="1038" spans="1:1">
      <c r="A1038" s="473" t="s">
        <v>1925</v>
      </c>
    </row>
    <row r="1039" spans="1:1">
      <c r="A1039" s="473" t="s">
        <v>2101</v>
      </c>
    </row>
    <row r="1040" spans="1:1">
      <c r="A1040" s="473" t="s">
        <v>1849</v>
      </c>
    </row>
    <row r="1041" spans="1:1">
      <c r="A1041" s="473" t="s">
        <v>2102</v>
      </c>
    </row>
    <row r="1042" spans="1:1">
      <c r="A1042" s="473" t="s">
        <v>1851</v>
      </c>
    </row>
    <row r="1044" spans="1:1">
      <c r="A1044" s="395" t="s">
        <v>1187</v>
      </c>
    </row>
    <row r="1045" spans="1:1">
      <c r="A1045" s="473" t="s">
        <v>2103</v>
      </c>
    </row>
    <row r="1046" spans="1:1">
      <c r="A1046" s="473" t="s">
        <v>2104</v>
      </c>
    </row>
    <row r="1047" spans="1:1">
      <c r="A1047" s="473" t="s">
        <v>2105</v>
      </c>
    </row>
    <row r="1048" spans="1:1">
      <c r="A1048" s="473" t="s">
        <v>1855</v>
      </c>
    </row>
    <row r="1049" spans="1:1">
      <c r="A1049" s="473" t="s">
        <v>1856</v>
      </c>
    </row>
    <row r="1050" spans="1:1">
      <c r="A1050" s="473" t="s">
        <v>1837</v>
      </c>
    </row>
    <row r="1051" spans="1:1">
      <c r="A1051" s="473" t="s">
        <v>2106</v>
      </c>
    </row>
    <row r="1052" spans="1:1">
      <c r="A1052" s="473" t="s">
        <v>2107</v>
      </c>
    </row>
    <row r="1053" spans="1:1">
      <c r="A1053" s="473" t="s">
        <v>2108</v>
      </c>
    </row>
    <row r="1054" spans="1:1">
      <c r="A1054" s="473" t="s">
        <v>1931</v>
      </c>
    </row>
    <row r="1055" spans="1:1">
      <c r="A1055" s="473" t="s">
        <v>1736</v>
      </c>
    </row>
    <row r="1056" spans="1:1">
      <c r="A1056" s="473" t="s">
        <v>1780</v>
      </c>
    </row>
    <row r="1057" spans="1:1">
      <c r="A1057" s="473" t="s">
        <v>1738</v>
      </c>
    </row>
    <row r="1059" spans="1:1">
      <c r="A1059" s="395" t="s">
        <v>1188</v>
      </c>
    </row>
    <row r="1060" spans="1:1">
      <c r="A1060" s="473" t="s">
        <v>2109</v>
      </c>
    </row>
    <row r="1061" spans="1:1">
      <c r="A1061" s="473" t="s">
        <v>2110</v>
      </c>
    </row>
    <row r="1062" spans="1:1">
      <c r="A1062" s="473" t="s">
        <v>2111</v>
      </c>
    </row>
    <row r="1064" spans="1:1">
      <c r="A1064" s="472" t="s">
        <v>1345</v>
      </c>
    </row>
    <row r="1065" spans="1:1">
      <c r="A1065" s="394" t="s">
        <v>1314</v>
      </c>
    </row>
    <row r="1066" spans="1:1">
      <c r="A1066" s="472" t="s">
        <v>1346</v>
      </c>
    </row>
    <row r="1067" spans="1:1">
      <c r="A1067" s="472" t="s">
        <v>1345</v>
      </c>
    </row>
    <row r="1068" spans="1:1">
      <c r="A1068" s="472" t="s">
        <v>1347</v>
      </c>
    </row>
    <row r="1069" spans="1:1">
      <c r="A1069" s="472" t="s">
        <v>1348</v>
      </c>
    </row>
    <row r="1070" spans="1:1">
      <c r="A1070" s="472" t="s">
        <v>1349</v>
      </c>
    </row>
    <row r="1071" spans="1:1">
      <c r="A1071" s="472" t="s">
        <v>1350</v>
      </c>
    </row>
    <row r="1072" spans="1:1">
      <c r="A1072" s="471" t="s">
        <v>1351</v>
      </c>
    </row>
    <row r="1073" spans="1:1">
      <c r="A1073" s="471" t="s">
        <v>1352</v>
      </c>
    </row>
    <row r="1076" spans="1:1">
      <c r="A1076" s="394" t="s">
        <v>1181</v>
      </c>
    </row>
    <row r="1077" spans="1:1">
      <c r="A1077" s="473" t="s">
        <v>2112</v>
      </c>
    </row>
    <row r="1078" spans="1:1">
      <c r="A1078" s="473" t="s">
        <v>1763</v>
      </c>
    </row>
    <row r="1079" spans="1:1">
      <c r="A1079" s="473" t="s">
        <v>2113</v>
      </c>
    </row>
    <row r="1080" spans="1:1">
      <c r="A1080" s="473" t="s">
        <v>2096</v>
      </c>
    </row>
    <row r="1081" spans="1:1">
      <c r="A1081" s="473" t="s">
        <v>2097</v>
      </c>
    </row>
    <row r="1082" spans="1:1">
      <c r="A1082" s="473" t="s">
        <v>2114</v>
      </c>
    </row>
    <row r="1083" spans="1:1">
      <c r="A1083" s="473" t="s">
        <v>2099</v>
      </c>
    </row>
    <row r="1084" spans="1:1">
      <c r="A1084" s="473" t="s">
        <v>2100</v>
      </c>
    </row>
    <row r="1085" spans="1:1">
      <c r="A1085" s="394" t="s">
        <v>1182</v>
      </c>
    </row>
    <row r="1086" spans="1:1">
      <c r="A1086" s="471" t="s">
        <v>1353</v>
      </c>
    </row>
    <row r="1087" spans="1:1">
      <c r="A1087" s="471" t="s">
        <v>1354</v>
      </c>
    </row>
    <row r="1088" spans="1:1">
      <c r="A1088" s="471" t="s">
        <v>1355</v>
      </c>
    </row>
    <row r="1089" spans="1:1">
      <c r="A1089" s="394" t="s">
        <v>1186</v>
      </c>
    </row>
    <row r="1090" spans="1:1">
      <c r="A1090" s="473" t="s">
        <v>1815</v>
      </c>
    </row>
    <row r="1091" spans="1:1">
      <c r="A1091" s="473" t="s">
        <v>2063</v>
      </c>
    </row>
    <row r="1092" spans="1:1">
      <c r="A1092" s="473" t="s">
        <v>2008</v>
      </c>
    </row>
    <row r="1093" spans="1:1">
      <c r="A1093" s="473" t="s">
        <v>2115</v>
      </c>
    </row>
    <row r="1094" spans="1:1">
      <c r="A1094" s="473" t="s">
        <v>2116</v>
      </c>
    </row>
    <row r="1095" spans="1:1">
      <c r="A1095" s="473" t="s">
        <v>1851</v>
      </c>
    </row>
    <row r="1097" spans="1:1">
      <c r="A1097" s="395" t="s">
        <v>1187</v>
      </c>
    </row>
    <row r="1098" spans="1:1">
      <c r="A1098" s="473" t="s">
        <v>2046</v>
      </c>
    </row>
    <row r="1099" spans="1:1">
      <c r="A1099" s="473" t="s">
        <v>2117</v>
      </c>
    </row>
    <row r="1100" spans="1:1">
      <c r="A1100" s="473" t="s">
        <v>2118</v>
      </c>
    </row>
    <row r="1101" spans="1:1">
      <c r="A1101" s="473" t="s">
        <v>1855</v>
      </c>
    </row>
    <row r="1102" spans="1:1">
      <c r="A1102" s="473" t="s">
        <v>2119</v>
      </c>
    </row>
    <row r="1103" spans="1:1">
      <c r="A1103" s="473" t="s">
        <v>1837</v>
      </c>
    </row>
    <row r="1104" spans="1:1">
      <c r="A1104" s="473" t="s">
        <v>2120</v>
      </c>
    </row>
    <row r="1105" spans="1:1">
      <c r="A1105" s="473" t="s">
        <v>2093</v>
      </c>
    </row>
    <row r="1106" spans="1:1">
      <c r="A1106" s="473" t="s">
        <v>1734</v>
      </c>
    </row>
    <row r="1107" spans="1:1">
      <c r="A1107" s="473" t="s">
        <v>2075</v>
      </c>
    </row>
    <row r="1108" spans="1:1">
      <c r="A1108" s="473" t="s">
        <v>1779</v>
      </c>
    </row>
    <row r="1109" spans="1:1">
      <c r="A1109" s="473" t="s">
        <v>2053</v>
      </c>
    </row>
    <row r="1110" spans="1:1">
      <c r="A1110" s="473" t="s">
        <v>1738</v>
      </c>
    </row>
    <row r="1112" spans="1:1">
      <c r="A1112" s="395" t="s">
        <v>1188</v>
      </c>
    </row>
    <row r="1113" spans="1:1">
      <c r="A1113" s="473" t="s">
        <v>2109</v>
      </c>
    </row>
    <row r="1114" spans="1:1">
      <c r="A1114" s="473" t="s">
        <v>2121</v>
      </c>
    </row>
    <row r="1115" spans="1:1">
      <c r="A1115" s="473" t="s">
        <v>2122</v>
      </c>
    </row>
    <row r="1117" spans="1:1">
      <c r="A1117" s="472" t="s">
        <v>1356</v>
      </c>
    </row>
    <row r="1118" spans="1:1">
      <c r="A1118" s="394" t="s">
        <v>1357</v>
      </c>
    </row>
    <row r="1119" spans="1:1">
      <c r="A1119" s="472" t="s">
        <v>1358</v>
      </c>
    </row>
    <row r="1122" spans="1:1">
      <c r="A1122" s="394" t="s">
        <v>1181</v>
      </c>
    </row>
    <row r="1123" spans="1:1">
      <c r="A1123" s="473" t="s">
        <v>2123</v>
      </c>
    </row>
    <row r="1124" spans="1:1">
      <c r="A1124" s="473" t="s">
        <v>2124</v>
      </c>
    </row>
    <row r="1125" spans="1:1">
      <c r="A1125" s="473" t="s">
        <v>2023</v>
      </c>
    </row>
    <row r="1126" spans="1:1">
      <c r="A1126" s="473" t="s">
        <v>2125</v>
      </c>
    </row>
    <row r="1127" spans="1:1">
      <c r="A1127" s="473" t="s">
        <v>2126</v>
      </c>
    </row>
    <row r="1128" spans="1:1">
      <c r="A1128" s="473" t="s">
        <v>1718</v>
      </c>
    </row>
    <row r="1129" spans="1:1">
      <c r="A1129" s="473" t="s">
        <v>1719</v>
      </c>
    </row>
    <row r="1130" spans="1:1">
      <c r="A1130" s="473" t="s">
        <v>2127</v>
      </c>
    </row>
    <row r="1131" spans="1:1">
      <c r="A1131" s="394" t="s">
        <v>1182</v>
      </c>
    </row>
    <row r="1132" spans="1:1">
      <c r="A1132" s="471" t="s">
        <v>1359</v>
      </c>
    </row>
    <row r="1133" spans="1:1">
      <c r="A1133" s="471" t="s">
        <v>1360</v>
      </c>
    </row>
    <row r="1134" spans="1:1">
      <c r="A1134" s="471" t="s">
        <v>1361</v>
      </c>
    </row>
    <row r="1135" spans="1:1">
      <c r="A1135" s="394" t="s">
        <v>1186</v>
      </c>
    </row>
    <row r="1136" spans="1:1">
      <c r="A1136" s="473" t="s">
        <v>2128</v>
      </c>
    </row>
    <row r="1137" spans="1:1">
      <c r="A1137" s="473" t="s">
        <v>1925</v>
      </c>
    </row>
    <row r="1138" spans="1:1">
      <c r="A1138" s="473" t="s">
        <v>1793</v>
      </c>
    </row>
    <row r="1139" spans="1:1">
      <c r="A1139" s="473" t="s">
        <v>2129</v>
      </c>
    </row>
    <row r="1140" spans="1:1">
      <c r="A1140" s="473" t="s">
        <v>2130</v>
      </c>
    </row>
    <row r="1141" spans="1:1">
      <c r="A1141" s="473" t="s">
        <v>1725</v>
      </c>
    </row>
    <row r="1143" spans="1:1">
      <c r="A1143" s="395" t="s">
        <v>1187</v>
      </c>
    </row>
    <row r="1144" spans="1:1">
      <c r="A1144" s="473" t="s">
        <v>2131</v>
      </c>
    </row>
    <row r="1145" spans="1:1">
      <c r="A1145" s="473" t="s">
        <v>2132</v>
      </c>
    </row>
    <row r="1146" spans="1:1">
      <c r="A1146" s="473" t="s">
        <v>2133</v>
      </c>
    </row>
    <row r="1147" spans="1:1">
      <c r="A1147" s="473" t="s">
        <v>2033</v>
      </c>
    </row>
    <row r="1148" spans="1:1">
      <c r="A1148" s="473" t="s">
        <v>2134</v>
      </c>
    </row>
    <row r="1149" spans="1:1">
      <c r="A1149" s="473" t="s">
        <v>2135</v>
      </c>
    </row>
    <row r="1150" spans="1:1">
      <c r="A1150" s="473" t="s">
        <v>2136</v>
      </c>
    </row>
    <row r="1151" spans="1:1">
      <c r="A1151" s="473" t="s">
        <v>2137</v>
      </c>
    </row>
    <row r="1152" spans="1:1">
      <c r="A1152" s="473" t="s">
        <v>2138</v>
      </c>
    </row>
    <row r="1153" spans="1:1">
      <c r="A1153" s="473" t="s">
        <v>1931</v>
      </c>
    </row>
    <row r="1154" spans="1:1">
      <c r="A1154" s="473" t="s">
        <v>1967</v>
      </c>
    </row>
    <row r="1155" spans="1:1">
      <c r="A1155" s="473" t="s">
        <v>1806</v>
      </c>
    </row>
    <row r="1156" spans="1:1">
      <c r="A1156" s="473" t="s">
        <v>1738</v>
      </c>
    </row>
    <row r="1158" spans="1:1">
      <c r="A1158" s="395" t="s">
        <v>1188</v>
      </c>
    </row>
    <row r="1159" spans="1:1">
      <c r="A1159" s="473" t="s">
        <v>1739</v>
      </c>
    </row>
    <row r="1160" spans="1:1">
      <c r="A1160" s="473" t="s">
        <v>1740</v>
      </c>
    </row>
    <row r="1161" spans="1:1">
      <c r="A1161" s="473" t="s">
        <v>2139</v>
      </c>
    </row>
    <row r="1162" spans="1:1">
      <c r="A1162" s="473" t="s">
        <v>2056</v>
      </c>
    </row>
    <row r="1164" spans="1:1">
      <c r="A1164" s="472" t="s">
        <v>1362</v>
      </c>
    </row>
    <row r="1165" spans="1:1">
      <c r="A1165" s="394" t="s">
        <v>1357</v>
      </c>
    </row>
    <row r="1166" spans="1:1">
      <c r="A1166" s="472" t="s">
        <v>1363</v>
      </c>
    </row>
    <row r="1169" spans="1:1">
      <c r="A1169" s="394" t="s">
        <v>1181</v>
      </c>
    </row>
    <row r="1170" spans="1:1">
      <c r="A1170" s="473" t="s">
        <v>2140</v>
      </c>
    </row>
    <row r="1171" spans="1:1">
      <c r="A1171" s="473" t="s">
        <v>2141</v>
      </c>
    </row>
    <row r="1172" spans="1:1">
      <c r="A1172" s="473" t="s">
        <v>2142</v>
      </c>
    </row>
    <row r="1173" spans="1:1">
      <c r="A1173" s="473" t="s">
        <v>2143</v>
      </c>
    </row>
    <row r="1174" spans="1:1">
      <c r="A1174" s="473" t="s">
        <v>2144</v>
      </c>
    </row>
    <row r="1175" spans="1:1">
      <c r="A1175" s="473" t="s">
        <v>2145</v>
      </c>
    </row>
    <row r="1176" spans="1:1">
      <c r="A1176" s="473" t="s">
        <v>1719</v>
      </c>
    </row>
    <row r="1177" spans="1:1">
      <c r="A1177" s="473" t="s">
        <v>2146</v>
      </c>
    </row>
    <row r="1178" spans="1:1">
      <c r="A1178" s="394" t="s">
        <v>1182</v>
      </c>
    </row>
    <row r="1179" spans="1:1">
      <c r="A1179" s="471" t="s">
        <v>1364</v>
      </c>
    </row>
    <row r="1180" spans="1:1">
      <c r="A1180" s="471" t="s">
        <v>1365</v>
      </c>
    </row>
    <row r="1181" spans="1:1">
      <c r="A1181" s="471" t="s">
        <v>1366</v>
      </c>
    </row>
    <row r="1182" spans="1:1">
      <c r="A1182" s="394" t="s">
        <v>1186</v>
      </c>
    </row>
    <row r="1183" spans="1:1">
      <c r="A1183" s="473" t="s">
        <v>1721</v>
      </c>
    </row>
    <row r="1184" spans="1:1">
      <c r="A1184" s="473" t="s">
        <v>1848</v>
      </c>
    </row>
    <row r="1185" spans="1:1">
      <c r="A1185" s="473" t="s">
        <v>2147</v>
      </c>
    </row>
    <row r="1186" spans="1:1">
      <c r="A1186" s="473" t="s">
        <v>1958</v>
      </c>
    </row>
    <row r="1187" spans="1:1">
      <c r="A1187" s="473" t="s">
        <v>2148</v>
      </c>
    </row>
    <row r="1188" spans="1:1">
      <c r="A1188" s="473" t="s">
        <v>1725</v>
      </c>
    </row>
    <row r="1190" spans="1:1">
      <c r="A1190" s="395" t="s">
        <v>1187</v>
      </c>
    </row>
    <row r="1191" spans="1:1">
      <c r="A1191" s="473" t="s">
        <v>2149</v>
      </c>
    </row>
    <row r="1192" spans="1:1">
      <c r="A1192" s="473" t="s">
        <v>2150</v>
      </c>
    </row>
    <row r="1193" spans="1:1">
      <c r="A1193" s="473" t="s">
        <v>2151</v>
      </c>
    </row>
    <row r="1194" spans="1:1">
      <c r="A1194" s="473" t="s">
        <v>1729</v>
      </c>
    </row>
    <row r="1195" spans="1:1">
      <c r="A1195" s="473" t="s">
        <v>2152</v>
      </c>
    </row>
    <row r="1196" spans="1:1">
      <c r="A1196" s="473" t="s">
        <v>1980</v>
      </c>
    </row>
    <row r="1197" spans="1:1">
      <c r="A1197" s="473" t="s">
        <v>2153</v>
      </c>
    </row>
    <row r="1198" spans="1:1">
      <c r="A1198" s="473" t="s">
        <v>2154</v>
      </c>
    </row>
    <row r="1199" spans="1:1">
      <c r="A1199" s="473" t="s">
        <v>2155</v>
      </c>
    </row>
    <row r="1200" spans="1:1">
      <c r="A1200" s="473" t="s">
        <v>1734</v>
      </c>
    </row>
    <row r="1201" spans="1:1">
      <c r="A1201" s="473" t="s">
        <v>1859</v>
      </c>
    </row>
    <row r="1202" spans="1:1">
      <c r="A1202" s="473" t="s">
        <v>1967</v>
      </c>
    </row>
    <row r="1203" spans="1:1">
      <c r="A1203" s="473" t="s">
        <v>1806</v>
      </c>
    </row>
    <row r="1204" spans="1:1">
      <c r="A1204" s="473" t="s">
        <v>1738</v>
      </c>
    </row>
    <row r="1206" spans="1:1">
      <c r="A1206" s="395" t="s">
        <v>1188</v>
      </c>
    </row>
    <row r="1207" spans="1:1">
      <c r="A1207" s="473" t="s">
        <v>1739</v>
      </c>
    </row>
    <row r="1208" spans="1:1">
      <c r="A1208" s="473" t="s">
        <v>1740</v>
      </c>
    </row>
    <row r="1209" spans="1:1">
      <c r="A1209" s="473" t="s">
        <v>2156</v>
      </c>
    </row>
    <row r="1211" spans="1:1">
      <c r="A1211" s="472" t="s">
        <v>1367</v>
      </c>
    </row>
    <row r="1212" spans="1:1">
      <c r="A1212" s="394" t="s">
        <v>1357</v>
      </c>
    </row>
    <row r="1213" spans="1:1">
      <c r="A1213" s="472" t="s">
        <v>1368</v>
      </c>
    </row>
    <row r="1214" spans="1:1">
      <c r="A1214" s="472" t="s">
        <v>1367</v>
      </c>
    </row>
    <row r="1215" spans="1:1">
      <c r="A1215" s="472" t="s">
        <v>1369</v>
      </c>
    </row>
    <row r="1216" spans="1:1">
      <c r="A1216" s="472" t="s">
        <v>1370</v>
      </c>
    </row>
    <row r="1217" spans="1:1">
      <c r="A1217" s="472" t="s">
        <v>1371</v>
      </c>
    </row>
    <row r="1218" spans="1:1">
      <c r="A1218" s="472" t="s">
        <v>1372</v>
      </c>
    </row>
    <row r="1219" spans="1:1">
      <c r="A1219" s="471" t="s">
        <v>1373</v>
      </c>
    </row>
    <row r="1220" spans="1:1">
      <c r="A1220" s="471" t="s">
        <v>1374</v>
      </c>
    </row>
    <row r="1223" spans="1:1">
      <c r="A1223" s="394" t="s">
        <v>1181</v>
      </c>
    </row>
    <row r="1224" spans="1:1">
      <c r="A1224" s="473" t="s">
        <v>2157</v>
      </c>
    </row>
    <row r="1225" spans="1:1">
      <c r="A1225" s="473" t="s">
        <v>2124</v>
      </c>
    </row>
    <row r="1226" spans="1:1">
      <c r="A1226" s="473" t="s">
        <v>2158</v>
      </c>
    </row>
    <row r="1227" spans="1:1">
      <c r="A1227" s="473" t="s">
        <v>2159</v>
      </c>
    </row>
    <row r="1228" spans="1:1">
      <c r="A1228" s="473" t="s">
        <v>2160</v>
      </c>
    </row>
    <row r="1229" spans="1:1">
      <c r="A1229" s="473" t="s">
        <v>2161</v>
      </c>
    </row>
    <row r="1230" spans="1:1">
      <c r="A1230" s="473" t="s">
        <v>1813</v>
      </c>
    </row>
    <row r="1231" spans="1:1">
      <c r="A1231" s="473" t="s">
        <v>2162</v>
      </c>
    </row>
    <row r="1232" spans="1:1">
      <c r="A1232" s="394" t="s">
        <v>1182</v>
      </c>
    </row>
    <row r="1233" spans="1:1">
      <c r="A1233" s="471" t="s">
        <v>1375</v>
      </c>
    </row>
    <row r="1234" spans="1:1">
      <c r="A1234" s="471" t="s">
        <v>1376</v>
      </c>
    </row>
    <row r="1235" spans="1:1">
      <c r="A1235" s="471" t="s">
        <v>1377</v>
      </c>
    </row>
    <row r="1236" spans="1:1">
      <c r="A1236" s="394" t="s">
        <v>1186</v>
      </c>
    </row>
    <row r="1237" spans="1:1">
      <c r="A1237" s="473" t="s">
        <v>2128</v>
      </c>
    </row>
    <row r="1238" spans="1:1">
      <c r="A1238" s="473" t="s">
        <v>1925</v>
      </c>
    </row>
    <row r="1239" spans="1:1">
      <c r="A1239" s="473" t="s">
        <v>1769</v>
      </c>
    </row>
    <row r="1240" spans="1:1">
      <c r="A1240" s="473" t="s">
        <v>2163</v>
      </c>
    </row>
    <row r="1241" spans="1:1">
      <c r="A1241" s="473" t="s">
        <v>2164</v>
      </c>
    </row>
    <row r="1242" spans="1:1">
      <c r="A1242" s="473" t="s">
        <v>1795</v>
      </c>
    </row>
    <row r="1244" spans="1:1">
      <c r="A1244" s="395" t="s">
        <v>1187</v>
      </c>
    </row>
    <row r="1245" spans="1:1">
      <c r="A1245" s="473" t="s">
        <v>2165</v>
      </c>
    </row>
    <row r="1246" spans="1:1">
      <c r="A1246" s="473" t="s">
        <v>2166</v>
      </c>
    </row>
    <row r="1247" spans="1:1">
      <c r="A1247" s="473" t="s">
        <v>2167</v>
      </c>
    </row>
    <row r="1248" spans="1:1">
      <c r="A1248" s="473" t="s">
        <v>2033</v>
      </c>
    </row>
    <row r="1249" spans="1:1">
      <c r="A1249" s="473" t="s">
        <v>2168</v>
      </c>
    </row>
    <row r="1250" spans="1:1">
      <c r="A1250" s="473" t="s">
        <v>2169</v>
      </c>
    </row>
    <row r="1251" spans="1:1">
      <c r="A1251" s="473" t="s">
        <v>2170</v>
      </c>
    </row>
    <row r="1252" spans="1:1">
      <c r="A1252" s="473" t="s">
        <v>2171</v>
      </c>
    </row>
    <row r="1253" spans="1:1">
      <c r="A1253" s="473" t="s">
        <v>1734</v>
      </c>
    </row>
    <row r="1254" spans="1:1">
      <c r="A1254" s="473" t="s">
        <v>1931</v>
      </c>
    </row>
    <row r="1255" spans="1:1">
      <c r="A1255" s="473" t="s">
        <v>2052</v>
      </c>
    </row>
    <row r="1256" spans="1:1">
      <c r="A1256" s="473" t="s">
        <v>1806</v>
      </c>
    </row>
    <row r="1257" spans="1:1">
      <c r="A1257" s="473" t="s">
        <v>1738</v>
      </c>
    </row>
    <row r="1259" spans="1:1">
      <c r="A1259" s="395" t="s">
        <v>1188</v>
      </c>
    </row>
    <row r="1260" spans="1:1">
      <c r="A1260" s="473" t="s">
        <v>1739</v>
      </c>
    </row>
    <row r="1261" spans="1:1">
      <c r="A1261" s="473" t="s">
        <v>1740</v>
      </c>
    </row>
    <row r="1262" spans="1:1">
      <c r="A1262" s="473" t="s">
        <v>2172</v>
      </c>
    </row>
    <row r="1263" spans="1:1">
      <c r="A1263" s="473" t="s">
        <v>2173</v>
      </c>
    </row>
    <row r="1265" spans="1:1">
      <c r="A1265" s="472" t="s">
        <v>1378</v>
      </c>
    </row>
    <row r="1266" spans="1:1">
      <c r="A1266" s="394" t="s">
        <v>1357</v>
      </c>
    </row>
    <row r="1267" spans="1:1">
      <c r="A1267" s="472" t="s">
        <v>1379</v>
      </c>
    </row>
    <row r="1270" spans="1:1">
      <c r="A1270" s="394" t="s">
        <v>1181</v>
      </c>
    </row>
    <row r="1271" spans="1:1">
      <c r="A1271" s="473" t="s">
        <v>2174</v>
      </c>
    </row>
    <row r="1272" spans="1:1">
      <c r="A1272" s="473" t="s">
        <v>2175</v>
      </c>
    </row>
    <row r="1273" spans="1:1">
      <c r="A1273" s="473" t="s">
        <v>2176</v>
      </c>
    </row>
    <row r="1274" spans="1:1">
      <c r="A1274" s="473" t="s">
        <v>2177</v>
      </c>
    </row>
    <row r="1275" spans="1:1">
      <c r="A1275" s="473" t="s">
        <v>2178</v>
      </c>
    </row>
    <row r="1276" spans="1:1">
      <c r="A1276" s="473" t="s">
        <v>2179</v>
      </c>
    </row>
    <row r="1277" spans="1:1">
      <c r="A1277" s="473" t="s">
        <v>2180</v>
      </c>
    </row>
    <row r="1278" spans="1:1">
      <c r="A1278" s="473" t="s">
        <v>2181</v>
      </c>
    </row>
    <row r="1279" spans="1:1">
      <c r="A1279" s="394" t="s">
        <v>1182</v>
      </c>
    </row>
    <row r="1280" spans="1:1">
      <c r="A1280" s="471" t="s">
        <v>1380</v>
      </c>
    </row>
    <row r="1281" spans="1:1">
      <c r="A1281" s="471" t="s">
        <v>1381</v>
      </c>
    </row>
    <row r="1282" spans="1:1">
      <c r="A1282" s="471" t="s">
        <v>1382</v>
      </c>
    </row>
    <row r="1283" spans="1:1">
      <c r="A1283" s="394" t="s">
        <v>1186</v>
      </c>
    </row>
    <row r="1284" spans="1:1">
      <c r="A1284" s="473" t="s">
        <v>2128</v>
      </c>
    </row>
    <row r="1285" spans="1:1">
      <c r="A1285" s="473" t="s">
        <v>1925</v>
      </c>
    </row>
    <row r="1286" spans="1:1">
      <c r="A1286" s="473" t="s">
        <v>2182</v>
      </c>
    </row>
    <row r="1287" spans="1:1">
      <c r="A1287" s="473" t="s">
        <v>2183</v>
      </c>
    </row>
    <row r="1288" spans="1:1">
      <c r="A1288" s="473" t="s">
        <v>2184</v>
      </c>
    </row>
    <row r="1289" spans="1:1">
      <c r="A1289" s="473" t="s">
        <v>1795</v>
      </c>
    </row>
    <row r="1291" spans="1:1">
      <c r="A1291" s="395" t="s">
        <v>1187</v>
      </c>
    </row>
    <row r="1292" spans="1:1">
      <c r="A1292" s="473" t="s">
        <v>2185</v>
      </c>
    </row>
    <row r="1293" spans="1:1">
      <c r="A1293" s="473" t="s">
        <v>2186</v>
      </c>
    </row>
    <row r="1294" spans="1:1">
      <c r="A1294" s="473" t="s">
        <v>2187</v>
      </c>
    </row>
    <row r="1295" spans="1:1">
      <c r="A1295" s="473" t="s">
        <v>2033</v>
      </c>
    </row>
    <row r="1296" spans="1:1">
      <c r="A1296" s="473" t="s">
        <v>2188</v>
      </c>
    </row>
    <row r="1297" spans="1:1">
      <c r="A1297" s="473" t="s">
        <v>1801</v>
      </c>
    </row>
    <row r="1298" spans="1:1">
      <c r="A1298" s="473" t="s">
        <v>2189</v>
      </c>
    </row>
    <row r="1299" spans="1:1">
      <c r="A1299" s="473" t="s">
        <v>2190</v>
      </c>
    </row>
    <row r="1300" spans="1:1">
      <c r="A1300" s="473" t="s">
        <v>2191</v>
      </c>
    </row>
    <row r="1301" spans="1:1">
      <c r="A1301" s="473" t="s">
        <v>2108</v>
      </c>
    </row>
    <row r="1302" spans="1:1">
      <c r="A1302" s="473" t="s">
        <v>1931</v>
      </c>
    </row>
    <row r="1303" spans="1:1">
      <c r="A1303" s="473" t="s">
        <v>2001</v>
      </c>
    </row>
    <row r="1304" spans="1:1">
      <c r="A1304" s="473" t="s">
        <v>1806</v>
      </c>
    </row>
    <row r="1305" spans="1:1">
      <c r="A1305" s="473" t="s">
        <v>1738</v>
      </c>
    </row>
    <row r="1307" spans="1:1">
      <c r="A1307" s="395" t="s">
        <v>1188</v>
      </c>
    </row>
    <row r="1308" spans="1:1">
      <c r="A1308" s="473" t="s">
        <v>2192</v>
      </c>
    </row>
    <row r="1309" spans="1:1">
      <c r="A1309" s="473" t="s">
        <v>1782</v>
      </c>
    </row>
    <row r="1310" spans="1:1">
      <c r="A1310" s="473" t="s">
        <v>2193</v>
      </c>
    </row>
    <row r="1311" spans="1:1">
      <c r="A1311" s="473" t="s">
        <v>2194</v>
      </c>
    </row>
    <row r="1312" spans="1:1">
      <c r="A1312" s="473" t="s">
        <v>2195</v>
      </c>
    </row>
    <row r="1314" spans="1:1">
      <c r="A1314" s="472" t="s">
        <v>1383</v>
      </c>
    </row>
    <row r="1315" spans="1:1">
      <c r="A1315" s="394" t="s">
        <v>1384</v>
      </c>
    </row>
    <row r="1316" spans="1:1">
      <c r="A1316" s="472" t="s">
        <v>1385</v>
      </c>
    </row>
    <row r="1319" spans="1:1">
      <c r="A1319" s="394" t="s">
        <v>1181</v>
      </c>
    </row>
    <row r="1320" spans="1:1">
      <c r="A1320" s="473" t="s">
        <v>2196</v>
      </c>
    </row>
    <row r="1321" spans="1:1">
      <c r="A1321" s="473" t="s">
        <v>2197</v>
      </c>
    </row>
    <row r="1322" spans="1:1">
      <c r="A1322" s="473" t="s">
        <v>2198</v>
      </c>
    </row>
    <row r="1323" spans="1:1">
      <c r="A1323" s="473" t="s">
        <v>2199</v>
      </c>
    </row>
    <row r="1324" spans="1:1">
      <c r="A1324" s="473" t="s">
        <v>2200</v>
      </c>
    </row>
    <row r="1325" spans="1:1">
      <c r="A1325" s="473" t="s">
        <v>2201</v>
      </c>
    </row>
    <row r="1326" spans="1:1">
      <c r="A1326" s="473" t="s">
        <v>2202</v>
      </c>
    </row>
    <row r="1327" spans="1:1">
      <c r="A1327" s="473" t="s">
        <v>2203</v>
      </c>
    </row>
    <row r="1328" spans="1:1">
      <c r="A1328" s="394" t="s">
        <v>1182</v>
      </c>
    </row>
    <row r="1329" spans="1:1">
      <c r="A1329" s="471" t="s">
        <v>1386</v>
      </c>
    </row>
    <row r="1330" spans="1:1">
      <c r="A1330" s="471" t="s">
        <v>1387</v>
      </c>
    </row>
    <row r="1331" spans="1:1">
      <c r="A1331" s="471" t="s">
        <v>1388</v>
      </c>
    </row>
    <row r="1332" spans="1:1">
      <c r="A1332" s="394" t="s">
        <v>1186</v>
      </c>
    </row>
    <row r="1333" spans="1:1">
      <c r="A1333" s="473" t="s">
        <v>1721</v>
      </c>
    </row>
    <row r="1334" spans="1:1">
      <c r="A1334" s="473" t="s">
        <v>1722</v>
      </c>
    </row>
    <row r="1335" spans="1:1">
      <c r="A1335" s="473" t="s">
        <v>1793</v>
      </c>
    </row>
    <row r="1336" spans="1:1">
      <c r="A1336" s="473" t="s">
        <v>2204</v>
      </c>
    </row>
    <row r="1337" spans="1:1">
      <c r="A1337" s="473" t="s">
        <v>2066</v>
      </c>
    </row>
    <row r="1339" spans="1:1">
      <c r="A1339" s="395" t="s">
        <v>1187</v>
      </c>
    </row>
    <row r="1340" spans="1:1">
      <c r="A1340" s="473" t="s">
        <v>2205</v>
      </c>
    </row>
    <row r="1341" spans="1:1">
      <c r="A1341" s="473" t="s">
        <v>2206</v>
      </c>
    </row>
    <row r="1342" spans="1:1">
      <c r="A1342" s="473" t="s">
        <v>2207</v>
      </c>
    </row>
    <row r="1343" spans="1:1">
      <c r="A1343" s="473" t="s">
        <v>1729</v>
      </c>
    </row>
    <row r="1344" spans="1:1">
      <c r="A1344" s="473" t="s">
        <v>2208</v>
      </c>
    </row>
    <row r="1345" spans="1:1">
      <c r="A1345" s="473" t="s">
        <v>2209</v>
      </c>
    </row>
    <row r="1346" spans="1:1">
      <c r="A1346" s="473" t="s">
        <v>2210</v>
      </c>
    </row>
    <row r="1347" spans="1:1">
      <c r="A1347" s="473" t="s">
        <v>2211</v>
      </c>
    </row>
    <row r="1348" spans="1:1">
      <c r="A1348" s="473" t="s">
        <v>2212</v>
      </c>
    </row>
    <row r="1349" spans="1:1">
      <c r="A1349" s="473" t="s">
        <v>2213</v>
      </c>
    </row>
    <row r="1350" spans="1:1">
      <c r="A1350" s="473" t="s">
        <v>1735</v>
      </c>
    </row>
    <row r="1351" spans="1:1">
      <c r="A1351" s="473" t="s">
        <v>1779</v>
      </c>
    </row>
    <row r="1352" spans="1:1">
      <c r="A1352" s="473" t="s">
        <v>1780</v>
      </c>
    </row>
    <row r="1353" spans="1:1">
      <c r="A1353" s="473" t="s">
        <v>1738</v>
      </c>
    </row>
    <row r="1355" spans="1:1">
      <c r="A1355" s="395" t="s">
        <v>1188</v>
      </c>
    </row>
    <row r="1356" spans="1:1">
      <c r="A1356" s="473" t="s">
        <v>1739</v>
      </c>
    </row>
    <row r="1357" spans="1:1">
      <c r="A1357" s="473" t="s">
        <v>2214</v>
      </c>
    </row>
    <row r="1358" spans="1:1">
      <c r="A1358" s="473" t="s">
        <v>2215</v>
      </c>
    </row>
    <row r="1360" spans="1:1">
      <c r="A1360" s="472" t="s">
        <v>1389</v>
      </c>
    </row>
    <row r="1361" spans="1:1">
      <c r="A1361" s="394" t="s">
        <v>1384</v>
      </c>
    </row>
    <row r="1362" spans="1:1">
      <c r="A1362" s="472" t="s">
        <v>1390</v>
      </c>
    </row>
    <row r="1365" spans="1:1">
      <c r="A1365" s="394" t="s">
        <v>1181</v>
      </c>
    </row>
    <row r="1366" spans="1:1">
      <c r="A1366" s="473" t="s">
        <v>1953</v>
      </c>
    </row>
    <row r="1367" spans="1:1">
      <c r="A1367" s="473" t="s">
        <v>2216</v>
      </c>
    </row>
    <row r="1368" spans="1:1">
      <c r="A1368" s="473" t="s">
        <v>1954</v>
      </c>
    </row>
    <row r="1369" spans="1:1">
      <c r="A1369" s="473" t="s">
        <v>1787</v>
      </c>
    </row>
    <row r="1370" spans="1:1">
      <c r="A1370" s="473" t="s">
        <v>2217</v>
      </c>
    </row>
    <row r="1371" spans="1:1">
      <c r="A1371" s="473" t="s">
        <v>2218</v>
      </c>
    </row>
    <row r="1372" spans="1:1">
      <c r="A1372" s="473" t="s">
        <v>2202</v>
      </c>
    </row>
    <row r="1373" spans="1:1">
      <c r="A1373" s="473" t="s">
        <v>2219</v>
      </c>
    </row>
    <row r="1374" spans="1:1">
      <c r="A1374" s="394" t="s">
        <v>1182</v>
      </c>
    </row>
    <row r="1375" spans="1:1">
      <c r="A1375" s="471" t="s">
        <v>1391</v>
      </c>
    </row>
    <row r="1376" spans="1:1">
      <c r="A1376" s="471" t="s">
        <v>1392</v>
      </c>
    </row>
    <row r="1377" spans="1:1">
      <c r="A1377" s="471" t="s">
        <v>1393</v>
      </c>
    </row>
    <row r="1378" spans="1:1">
      <c r="A1378" s="394" t="s">
        <v>1186</v>
      </c>
    </row>
    <row r="1379" spans="1:1">
      <c r="A1379" s="473" t="s">
        <v>1721</v>
      </c>
    </row>
    <row r="1380" spans="1:1">
      <c r="A1380" s="473" t="s">
        <v>1722</v>
      </c>
    </row>
    <row r="1381" spans="1:1">
      <c r="A1381" s="473" t="s">
        <v>1723</v>
      </c>
    </row>
    <row r="1382" spans="1:1">
      <c r="A1382" s="473" t="s">
        <v>2220</v>
      </c>
    </row>
    <row r="1383" spans="1:1">
      <c r="A1383" s="473" t="s">
        <v>2221</v>
      </c>
    </row>
    <row r="1384" spans="1:1">
      <c r="A1384" s="473" t="s">
        <v>2066</v>
      </c>
    </row>
    <row r="1386" spans="1:1">
      <c r="A1386" s="395" t="s">
        <v>1187</v>
      </c>
    </row>
    <row r="1387" spans="1:1">
      <c r="A1387" s="473" t="s">
        <v>2222</v>
      </c>
    </row>
    <row r="1388" spans="1:1">
      <c r="A1388" s="473" t="s">
        <v>2223</v>
      </c>
    </row>
    <row r="1389" spans="1:1">
      <c r="A1389" s="473" t="s">
        <v>2224</v>
      </c>
    </row>
    <row r="1390" spans="1:1">
      <c r="A1390" s="473" t="s">
        <v>1729</v>
      </c>
    </row>
    <row r="1391" spans="1:1">
      <c r="A1391" s="473" t="s">
        <v>2225</v>
      </c>
    </row>
    <row r="1392" spans="1:1">
      <c r="A1392" s="473" t="s">
        <v>2226</v>
      </c>
    </row>
    <row r="1393" spans="1:1">
      <c r="A1393" s="473" t="s">
        <v>2227</v>
      </c>
    </row>
    <row r="1394" spans="1:1">
      <c r="A1394" s="473" t="s">
        <v>2228</v>
      </c>
    </row>
    <row r="1395" spans="1:1">
      <c r="A1395" s="473" t="s">
        <v>2229</v>
      </c>
    </row>
    <row r="1396" spans="1:1">
      <c r="A1396" s="473" t="s">
        <v>1734</v>
      </c>
    </row>
    <row r="1397" spans="1:1">
      <c r="A1397" s="473" t="s">
        <v>1735</v>
      </c>
    </row>
    <row r="1398" spans="1:1">
      <c r="A1398" s="473" t="s">
        <v>1860</v>
      </c>
    </row>
    <row r="1399" spans="1:1">
      <c r="A1399" s="473" t="s">
        <v>1806</v>
      </c>
    </row>
    <row r="1400" spans="1:1">
      <c r="A1400" s="473" t="s">
        <v>1738</v>
      </c>
    </row>
    <row r="1402" spans="1:1">
      <c r="A1402" s="395" t="s">
        <v>1188</v>
      </c>
    </row>
    <row r="1403" spans="1:1">
      <c r="A1403" s="473" t="s">
        <v>1739</v>
      </c>
    </row>
    <row r="1404" spans="1:1">
      <c r="A1404" s="473" t="s">
        <v>2230</v>
      </c>
    </row>
    <row r="1405" spans="1:1">
      <c r="A1405" s="473" t="s">
        <v>2231</v>
      </c>
    </row>
    <row r="1406" spans="1:1">
      <c r="A1406" s="473" t="s">
        <v>2232</v>
      </c>
    </row>
    <row r="1408" spans="1:1">
      <c r="A1408" s="472" t="s">
        <v>1394</v>
      </c>
    </row>
    <row r="1409" spans="1:1">
      <c r="A1409" s="394" t="s">
        <v>1384</v>
      </c>
    </row>
    <row r="1410" spans="1:1">
      <c r="A1410" s="472" t="s">
        <v>1395</v>
      </c>
    </row>
    <row r="1413" spans="1:1">
      <c r="A1413" s="394" t="s">
        <v>1181</v>
      </c>
    </row>
    <row r="1414" spans="1:1">
      <c r="A1414" s="473" t="s">
        <v>2233</v>
      </c>
    </row>
    <row r="1415" spans="1:1">
      <c r="A1415" s="473" t="s">
        <v>2234</v>
      </c>
    </row>
    <row r="1416" spans="1:1">
      <c r="A1416" s="473" t="s">
        <v>2235</v>
      </c>
    </row>
    <row r="1417" spans="1:1">
      <c r="A1417" s="473" t="s">
        <v>2236</v>
      </c>
    </row>
    <row r="1418" spans="1:1">
      <c r="A1418" s="473" t="s">
        <v>2237</v>
      </c>
    </row>
    <row r="1419" spans="1:1">
      <c r="A1419" s="473" t="s">
        <v>2238</v>
      </c>
    </row>
    <row r="1420" spans="1:1">
      <c r="A1420" s="473" t="s">
        <v>2239</v>
      </c>
    </row>
    <row r="1421" spans="1:1">
      <c r="A1421" s="473" t="s">
        <v>2240</v>
      </c>
    </row>
    <row r="1422" spans="1:1">
      <c r="A1422" s="394" t="s">
        <v>1182</v>
      </c>
    </row>
    <row r="1423" spans="1:1">
      <c r="A1423" s="471" t="s">
        <v>1396</v>
      </c>
    </row>
    <row r="1424" spans="1:1">
      <c r="A1424" s="471" t="s">
        <v>1397</v>
      </c>
    </row>
    <row r="1425" spans="1:1">
      <c r="A1425" s="471" t="s">
        <v>1398</v>
      </c>
    </row>
    <row r="1426" spans="1:1">
      <c r="A1426" s="394" t="s">
        <v>1186</v>
      </c>
    </row>
    <row r="1427" spans="1:1">
      <c r="A1427" s="473" t="s">
        <v>1815</v>
      </c>
    </row>
    <row r="1428" spans="1:1">
      <c r="A1428" s="473" t="s">
        <v>1722</v>
      </c>
    </row>
    <row r="1429" spans="1:1">
      <c r="A1429" s="473" t="s">
        <v>1885</v>
      </c>
    </row>
    <row r="1430" spans="1:1">
      <c r="A1430" s="473" t="s">
        <v>2241</v>
      </c>
    </row>
    <row r="1431" spans="1:1">
      <c r="A1431" s="473" t="s">
        <v>2242</v>
      </c>
    </row>
    <row r="1432" spans="1:1">
      <c r="A1432" s="473" t="s">
        <v>2066</v>
      </c>
    </row>
    <row r="1434" spans="1:1">
      <c r="A1434" s="395" t="s">
        <v>1187</v>
      </c>
    </row>
    <row r="1435" spans="1:1">
      <c r="A1435" s="473" t="s">
        <v>2243</v>
      </c>
    </row>
    <row r="1436" spans="1:1">
      <c r="A1436" s="473" t="s">
        <v>2244</v>
      </c>
    </row>
    <row r="1437" spans="1:1">
      <c r="A1437" s="473" t="s">
        <v>2245</v>
      </c>
    </row>
    <row r="1438" spans="1:1">
      <c r="A1438" s="473" t="s">
        <v>1729</v>
      </c>
    </row>
    <row r="1439" spans="1:1">
      <c r="A1439" s="473" t="s">
        <v>2246</v>
      </c>
    </row>
    <row r="1440" spans="1:1">
      <c r="A1440" s="473" t="s">
        <v>2247</v>
      </c>
    </row>
    <row r="1441" spans="1:1">
      <c r="A1441" s="473" t="s">
        <v>2248</v>
      </c>
    </row>
    <row r="1442" spans="1:1">
      <c r="A1442" s="473" t="s">
        <v>2249</v>
      </c>
    </row>
    <row r="1443" spans="1:1">
      <c r="A1443" s="473" t="s">
        <v>2250</v>
      </c>
    </row>
    <row r="1444" spans="1:1">
      <c r="A1444" s="473" t="s">
        <v>1759</v>
      </c>
    </row>
    <row r="1445" spans="1:1">
      <c r="A1445" s="473" t="s">
        <v>1735</v>
      </c>
    </row>
    <row r="1446" spans="1:1">
      <c r="A1446" s="473" t="s">
        <v>1736</v>
      </c>
    </row>
    <row r="1447" spans="1:1">
      <c r="A1447" s="473" t="s">
        <v>2053</v>
      </c>
    </row>
    <row r="1448" spans="1:1">
      <c r="A1448" s="473" t="s">
        <v>1738</v>
      </c>
    </row>
    <row r="1450" spans="1:1">
      <c r="A1450" s="395" t="s">
        <v>1188</v>
      </c>
    </row>
    <row r="1451" spans="1:1">
      <c r="A1451" s="473" t="s">
        <v>1739</v>
      </c>
    </row>
    <row r="1452" spans="1:1">
      <c r="A1452" s="473" t="s">
        <v>2076</v>
      </c>
    </row>
    <row r="1453" spans="1:1">
      <c r="A1453" s="473" t="s">
        <v>2251</v>
      </c>
    </row>
    <row r="1454" spans="1:1">
      <c r="A1454" s="473" t="s">
        <v>1933</v>
      </c>
    </row>
    <row r="1456" spans="1:1">
      <c r="A1456" s="472" t="s">
        <v>1399</v>
      </c>
    </row>
    <row r="1457" spans="1:1">
      <c r="A1457" s="394" t="s">
        <v>1384</v>
      </c>
    </row>
    <row r="1458" spans="1:1">
      <c r="A1458" s="472" t="s">
        <v>1400</v>
      </c>
    </row>
    <row r="1461" spans="1:1">
      <c r="A1461" s="394" t="s">
        <v>1181</v>
      </c>
    </row>
    <row r="1462" spans="1:1">
      <c r="A1462" s="473" t="s">
        <v>2252</v>
      </c>
    </row>
    <row r="1463" spans="1:1">
      <c r="A1463" s="473" t="s">
        <v>1743</v>
      </c>
    </row>
    <row r="1464" spans="1:1">
      <c r="A1464" s="473" t="s">
        <v>2253</v>
      </c>
    </row>
    <row r="1465" spans="1:1">
      <c r="A1465" s="473" t="s">
        <v>2254</v>
      </c>
    </row>
    <row r="1466" spans="1:1">
      <c r="A1466" s="473" t="s">
        <v>2255</v>
      </c>
    </row>
    <row r="1467" spans="1:1">
      <c r="A1467" s="473" t="s">
        <v>2256</v>
      </c>
    </row>
    <row r="1468" spans="1:1">
      <c r="A1468" s="473" t="s">
        <v>1830</v>
      </c>
    </row>
    <row r="1469" spans="1:1">
      <c r="A1469" s="473" t="s">
        <v>2257</v>
      </c>
    </row>
    <row r="1470" spans="1:1">
      <c r="A1470" s="394" t="s">
        <v>1182</v>
      </c>
    </row>
    <row r="1471" spans="1:1">
      <c r="A1471" s="471" t="s">
        <v>1401</v>
      </c>
    </row>
    <row r="1472" spans="1:1">
      <c r="A1472" s="471" t="s">
        <v>1402</v>
      </c>
    </row>
    <row r="1473" spans="1:1">
      <c r="A1473" s="471" t="s">
        <v>1403</v>
      </c>
    </row>
    <row r="1474" spans="1:1">
      <c r="A1474" s="394" t="s">
        <v>1186</v>
      </c>
    </row>
    <row r="1475" spans="1:1">
      <c r="A1475" s="473" t="s">
        <v>1749</v>
      </c>
    </row>
    <row r="1476" spans="1:1">
      <c r="A1476" s="473" t="s">
        <v>1848</v>
      </c>
    </row>
    <row r="1477" spans="1:1">
      <c r="A1477" s="473" t="s">
        <v>1885</v>
      </c>
    </row>
    <row r="1478" spans="1:1">
      <c r="A1478" s="473" t="s">
        <v>1794</v>
      </c>
    </row>
    <row r="1479" spans="1:1">
      <c r="A1479" s="473" t="s">
        <v>2066</v>
      </c>
    </row>
    <row r="1481" spans="1:1">
      <c r="A1481" s="395" t="s">
        <v>1187</v>
      </c>
    </row>
    <row r="1482" spans="1:1">
      <c r="A1482" s="473" t="s">
        <v>2258</v>
      </c>
    </row>
    <row r="1483" spans="1:1">
      <c r="A1483" s="473" t="s">
        <v>2259</v>
      </c>
    </row>
    <row r="1484" spans="1:1">
      <c r="A1484" s="473" t="s">
        <v>2260</v>
      </c>
    </row>
    <row r="1485" spans="1:1">
      <c r="A1485" s="473" t="s">
        <v>1729</v>
      </c>
    </row>
    <row r="1486" spans="1:1">
      <c r="A1486" s="473" t="s">
        <v>2261</v>
      </c>
    </row>
    <row r="1487" spans="1:1">
      <c r="A1487" s="473" t="s">
        <v>1801</v>
      </c>
    </row>
    <row r="1488" spans="1:1">
      <c r="A1488" s="473" t="s">
        <v>2262</v>
      </c>
    </row>
    <row r="1489" spans="1:1">
      <c r="A1489" s="473" t="s">
        <v>2263</v>
      </c>
    </row>
    <row r="1490" spans="1:1">
      <c r="A1490" s="473" t="s">
        <v>2212</v>
      </c>
    </row>
    <row r="1491" spans="1:1">
      <c r="A1491" s="473" t="s">
        <v>1822</v>
      </c>
    </row>
    <row r="1492" spans="1:1">
      <c r="A1492" s="473" t="s">
        <v>1859</v>
      </c>
    </row>
    <row r="1493" spans="1:1">
      <c r="A1493" s="473" t="s">
        <v>1736</v>
      </c>
    </row>
    <row r="1494" spans="1:1">
      <c r="A1494" s="473" t="s">
        <v>2264</v>
      </c>
    </row>
    <row r="1495" spans="1:1">
      <c r="A1495" s="473" t="s">
        <v>1738</v>
      </c>
    </row>
    <row r="1497" spans="1:1">
      <c r="A1497" s="395" t="s">
        <v>1188</v>
      </c>
    </row>
    <row r="1498" spans="1:1">
      <c r="A1498" s="473" t="s">
        <v>1739</v>
      </c>
    </row>
    <row r="1499" spans="1:1">
      <c r="A1499" s="473" t="s">
        <v>2214</v>
      </c>
    </row>
    <row r="1500" spans="1:1">
      <c r="A1500" s="473" t="s">
        <v>2265</v>
      </c>
    </row>
    <row r="1502" spans="1:1">
      <c r="A1502" s="472" t="s">
        <v>1404</v>
      </c>
    </row>
    <row r="1503" spans="1:1">
      <c r="A1503" s="394" t="s">
        <v>1384</v>
      </c>
    </row>
    <row r="1504" spans="1:1">
      <c r="A1504" s="472" t="s">
        <v>1405</v>
      </c>
    </row>
    <row r="1507" spans="1:1">
      <c r="A1507" s="394" t="s">
        <v>1181</v>
      </c>
    </row>
    <row r="1508" spans="1:1">
      <c r="A1508" s="473" t="s">
        <v>2266</v>
      </c>
    </row>
    <row r="1509" spans="1:1">
      <c r="A1509" s="473" t="s">
        <v>2267</v>
      </c>
    </row>
    <row r="1510" spans="1:1">
      <c r="A1510" s="473" t="s">
        <v>2268</v>
      </c>
    </row>
    <row r="1511" spans="1:1">
      <c r="A1511" s="473" t="s">
        <v>2269</v>
      </c>
    </row>
    <row r="1512" spans="1:1">
      <c r="A1512" s="473" t="s">
        <v>2270</v>
      </c>
    </row>
    <row r="1513" spans="1:1">
      <c r="A1513" s="473" t="s">
        <v>2271</v>
      </c>
    </row>
    <row r="1514" spans="1:1">
      <c r="A1514" s="473" t="s">
        <v>2099</v>
      </c>
    </row>
    <row r="1515" spans="1:1">
      <c r="A1515" s="473" t="s">
        <v>2272</v>
      </c>
    </row>
    <row r="1516" spans="1:1">
      <c r="A1516" s="394" t="s">
        <v>1182</v>
      </c>
    </row>
    <row r="1517" spans="1:1">
      <c r="A1517" s="471" t="s">
        <v>1406</v>
      </c>
    </row>
    <row r="1518" spans="1:1">
      <c r="A1518" s="471" t="s">
        <v>1407</v>
      </c>
    </row>
    <row r="1519" spans="1:1">
      <c r="A1519" s="471" t="s">
        <v>1408</v>
      </c>
    </row>
    <row r="1520" spans="1:1">
      <c r="A1520" s="394" t="s">
        <v>1186</v>
      </c>
    </row>
    <row r="1521" spans="1:1">
      <c r="A1521" s="473" t="s">
        <v>2128</v>
      </c>
    </row>
    <row r="1522" spans="1:1">
      <c r="A1522" s="473" t="s">
        <v>1848</v>
      </c>
    </row>
    <row r="1523" spans="1:1">
      <c r="A1523" s="473" t="s">
        <v>2029</v>
      </c>
    </row>
    <row r="1524" spans="1:1">
      <c r="A1524" s="473" t="s">
        <v>2273</v>
      </c>
    </row>
    <row r="1525" spans="1:1">
      <c r="A1525" s="473" t="s">
        <v>2066</v>
      </c>
    </row>
    <row r="1527" spans="1:1">
      <c r="A1527" s="395" t="s">
        <v>1187</v>
      </c>
    </row>
    <row r="1528" spans="1:1">
      <c r="A1528" s="473" t="s">
        <v>1912</v>
      </c>
    </row>
    <row r="1529" spans="1:1">
      <c r="A1529" s="473" t="s">
        <v>2274</v>
      </c>
    </row>
    <row r="1530" spans="1:1">
      <c r="A1530" s="473" t="s">
        <v>2275</v>
      </c>
    </row>
    <row r="1531" spans="1:1">
      <c r="A1531" s="473" t="s">
        <v>1729</v>
      </c>
    </row>
    <row r="1532" spans="1:1">
      <c r="A1532" s="473" t="s">
        <v>2276</v>
      </c>
    </row>
    <row r="1533" spans="1:1">
      <c r="A1533" s="473" t="s">
        <v>1980</v>
      </c>
    </row>
    <row r="1534" spans="1:1">
      <c r="A1534" s="473" t="s">
        <v>2277</v>
      </c>
    </row>
    <row r="1535" spans="1:1">
      <c r="A1535" s="473" t="s">
        <v>2154</v>
      </c>
    </row>
    <row r="1536" spans="1:1">
      <c r="A1536" s="473" t="s">
        <v>1734</v>
      </c>
    </row>
    <row r="1537" spans="1:1">
      <c r="A1537" s="473" t="s">
        <v>1859</v>
      </c>
    </row>
    <row r="1538" spans="1:1">
      <c r="A1538" s="473" t="s">
        <v>1967</v>
      </c>
    </row>
    <row r="1539" spans="1:1">
      <c r="A1539" s="473" t="s">
        <v>1806</v>
      </c>
    </row>
    <row r="1540" spans="1:1">
      <c r="A1540" s="473" t="s">
        <v>1738</v>
      </c>
    </row>
    <row r="1542" spans="1:1">
      <c r="A1542" s="395" t="s">
        <v>1188</v>
      </c>
    </row>
    <row r="1543" spans="1:1">
      <c r="A1543" s="473" t="s">
        <v>1739</v>
      </c>
    </row>
    <row r="1544" spans="1:1">
      <c r="A1544" s="473" t="s">
        <v>2278</v>
      </c>
    </row>
    <row r="1545" spans="1:1">
      <c r="A1545" s="473" t="s">
        <v>2279</v>
      </c>
    </row>
    <row r="1547" spans="1:1">
      <c r="A1547" s="472" t="s">
        <v>1409</v>
      </c>
    </row>
    <row r="1548" spans="1:1">
      <c r="A1548" s="394" t="s">
        <v>1384</v>
      </c>
    </row>
    <row r="1549" spans="1:1">
      <c r="A1549" s="472" t="s">
        <v>1410</v>
      </c>
    </row>
    <row r="1552" spans="1:1">
      <c r="A1552" s="394" t="s">
        <v>1181</v>
      </c>
    </row>
    <row r="1553" spans="1:1">
      <c r="A1553" s="473" t="s">
        <v>2280</v>
      </c>
    </row>
    <row r="1554" spans="1:1">
      <c r="A1554" s="473" t="s">
        <v>2281</v>
      </c>
    </row>
    <row r="1555" spans="1:1">
      <c r="A1555" s="473" t="s">
        <v>2282</v>
      </c>
    </row>
    <row r="1556" spans="1:1">
      <c r="A1556" s="473" t="s">
        <v>2283</v>
      </c>
    </row>
    <row r="1557" spans="1:1">
      <c r="A1557" s="473" t="s">
        <v>2284</v>
      </c>
    </row>
    <row r="1558" spans="1:1">
      <c r="A1558" s="473" t="s">
        <v>2285</v>
      </c>
    </row>
    <row r="1559" spans="1:1">
      <c r="A1559" s="473" t="s">
        <v>2286</v>
      </c>
    </row>
    <row r="1560" spans="1:1">
      <c r="A1560" s="473" t="s">
        <v>2287</v>
      </c>
    </row>
    <row r="1561" spans="1:1">
      <c r="A1561" s="394" t="s">
        <v>1182</v>
      </c>
    </row>
    <row r="1562" spans="1:1">
      <c r="A1562" s="471" t="s">
        <v>1411</v>
      </c>
    </row>
    <row r="1563" spans="1:1">
      <c r="A1563" s="471" t="s">
        <v>1412</v>
      </c>
    </row>
    <row r="1564" spans="1:1">
      <c r="A1564" s="471" t="s">
        <v>1413</v>
      </c>
    </row>
    <row r="1565" spans="1:1">
      <c r="A1565" s="394" t="s">
        <v>1186</v>
      </c>
    </row>
    <row r="1566" spans="1:1">
      <c r="A1566" s="473" t="s">
        <v>1721</v>
      </c>
    </row>
    <row r="1567" spans="1:1">
      <c r="A1567" s="473" t="s">
        <v>2063</v>
      </c>
    </row>
    <row r="1568" spans="1:1">
      <c r="A1568" s="473" t="s">
        <v>2029</v>
      </c>
    </row>
    <row r="1569" spans="1:1">
      <c r="A1569" s="473" t="s">
        <v>2288</v>
      </c>
    </row>
    <row r="1570" spans="1:1">
      <c r="A1570" s="473" t="s">
        <v>2289</v>
      </c>
    </row>
    <row r="1571" spans="1:1">
      <c r="A1571" s="473" t="s">
        <v>2066</v>
      </c>
    </row>
    <row r="1573" spans="1:1">
      <c r="A1573" s="395" t="s">
        <v>1187</v>
      </c>
    </row>
    <row r="1574" spans="1:1">
      <c r="A1574" s="473" t="s">
        <v>2205</v>
      </c>
    </row>
    <row r="1575" spans="1:1">
      <c r="A1575" s="473" t="s">
        <v>2290</v>
      </c>
    </row>
    <row r="1576" spans="1:1">
      <c r="A1576" s="473" t="s">
        <v>2291</v>
      </c>
    </row>
    <row r="1577" spans="1:1">
      <c r="A1577" s="473" t="s">
        <v>1729</v>
      </c>
    </row>
    <row r="1578" spans="1:1">
      <c r="A1578" s="473" t="s">
        <v>2292</v>
      </c>
    </row>
    <row r="1579" spans="1:1">
      <c r="A1579" s="473" t="s">
        <v>2293</v>
      </c>
    </row>
    <row r="1580" spans="1:1">
      <c r="A1580" s="473" t="s">
        <v>2294</v>
      </c>
    </row>
    <row r="1581" spans="1:1">
      <c r="A1581" s="473" t="s">
        <v>2295</v>
      </c>
    </row>
    <row r="1582" spans="1:1">
      <c r="A1582" s="473" t="s">
        <v>2296</v>
      </c>
    </row>
    <row r="1583" spans="1:1">
      <c r="A1583" s="473" t="s">
        <v>1759</v>
      </c>
    </row>
    <row r="1584" spans="1:1">
      <c r="A1584" s="473" t="s">
        <v>2075</v>
      </c>
    </row>
    <row r="1585" spans="1:1">
      <c r="A1585" s="473" t="s">
        <v>1736</v>
      </c>
    </row>
    <row r="1586" spans="1:1">
      <c r="A1586" s="473" t="s">
        <v>1737</v>
      </c>
    </row>
    <row r="1587" spans="1:1">
      <c r="A1587" s="473" t="s">
        <v>2297</v>
      </c>
    </row>
    <row r="1589" spans="1:1">
      <c r="A1589" s="395" t="s">
        <v>1188</v>
      </c>
    </row>
    <row r="1590" spans="1:1">
      <c r="A1590" s="473" t="s">
        <v>2192</v>
      </c>
    </row>
    <row r="1591" spans="1:1">
      <c r="A1591" s="473" t="s">
        <v>2298</v>
      </c>
    </row>
    <row r="1592" spans="1:1">
      <c r="A1592" s="473" t="s">
        <v>2299</v>
      </c>
    </row>
    <row r="1593" spans="1:1">
      <c r="A1593" s="473" t="s">
        <v>2300</v>
      </c>
    </row>
    <row r="1594" spans="1:1">
      <c r="A1594" s="473" t="s">
        <v>2301</v>
      </c>
    </row>
    <row r="1596" spans="1:1">
      <c r="A1596" s="472" t="s">
        <v>1414</v>
      </c>
    </row>
    <row r="1597" spans="1:1">
      <c r="A1597" s="394" t="s">
        <v>1384</v>
      </c>
    </row>
    <row r="1598" spans="1:1">
      <c r="A1598" s="472" t="s">
        <v>1415</v>
      </c>
    </row>
    <row r="1601" spans="1:1">
      <c r="A1601" s="394" t="s">
        <v>1181</v>
      </c>
    </row>
    <row r="1602" spans="1:1">
      <c r="A1602" s="473" t="s">
        <v>2302</v>
      </c>
    </row>
    <row r="1603" spans="1:1">
      <c r="A1603" s="473" t="s">
        <v>2303</v>
      </c>
    </row>
    <row r="1604" spans="1:1">
      <c r="A1604" s="473" t="s">
        <v>2304</v>
      </c>
    </row>
    <row r="1605" spans="1:1">
      <c r="A1605" s="473" t="s">
        <v>2305</v>
      </c>
    </row>
    <row r="1606" spans="1:1">
      <c r="A1606" s="473" t="s">
        <v>2306</v>
      </c>
    </row>
    <row r="1607" spans="1:1">
      <c r="A1607" s="473" t="s">
        <v>2307</v>
      </c>
    </row>
    <row r="1608" spans="1:1">
      <c r="A1608" s="473" t="s">
        <v>2202</v>
      </c>
    </row>
    <row r="1609" spans="1:1">
      <c r="A1609" s="473" t="s">
        <v>2308</v>
      </c>
    </row>
    <row r="1610" spans="1:1">
      <c r="A1610" s="394" t="s">
        <v>1182</v>
      </c>
    </row>
    <row r="1611" spans="1:1">
      <c r="A1611" s="471" t="s">
        <v>1416</v>
      </c>
    </row>
    <row r="1612" spans="1:1">
      <c r="A1612" s="471" t="s">
        <v>1417</v>
      </c>
    </row>
    <row r="1613" spans="1:1">
      <c r="A1613" s="471" t="s">
        <v>1418</v>
      </c>
    </row>
    <row r="1614" spans="1:1">
      <c r="A1614" s="394" t="s">
        <v>1186</v>
      </c>
    </row>
    <row r="1615" spans="1:1">
      <c r="A1615" s="473" t="s">
        <v>1815</v>
      </c>
    </row>
    <row r="1616" spans="1:1">
      <c r="A1616" s="473" t="s">
        <v>2063</v>
      </c>
    </row>
    <row r="1617" spans="1:1">
      <c r="A1617" s="473" t="s">
        <v>1885</v>
      </c>
    </row>
    <row r="1618" spans="1:1">
      <c r="A1618" s="473" t="s">
        <v>2204</v>
      </c>
    </row>
    <row r="1619" spans="1:1">
      <c r="A1619" s="473" t="s">
        <v>2066</v>
      </c>
    </row>
    <row r="1621" spans="1:1">
      <c r="A1621" s="395" t="s">
        <v>1187</v>
      </c>
    </row>
    <row r="1622" spans="1:1">
      <c r="A1622" s="473" t="s">
        <v>2243</v>
      </c>
    </row>
    <row r="1623" spans="1:1">
      <c r="A1623" s="473" t="s">
        <v>2309</v>
      </c>
    </row>
    <row r="1624" spans="1:1">
      <c r="A1624" s="473" t="s">
        <v>2310</v>
      </c>
    </row>
    <row r="1625" spans="1:1">
      <c r="A1625" s="473" t="s">
        <v>1729</v>
      </c>
    </row>
    <row r="1626" spans="1:1">
      <c r="A1626" s="473" t="s">
        <v>2311</v>
      </c>
    </row>
    <row r="1627" spans="1:1">
      <c r="A1627" s="473" t="s">
        <v>2312</v>
      </c>
    </row>
    <row r="1628" spans="1:1">
      <c r="A1628" s="473" t="s">
        <v>2313</v>
      </c>
    </row>
    <row r="1629" spans="1:1">
      <c r="A1629" s="473" t="s">
        <v>2314</v>
      </c>
    </row>
    <row r="1630" spans="1:1">
      <c r="A1630" s="473" t="s">
        <v>2315</v>
      </c>
    </row>
    <row r="1631" spans="1:1">
      <c r="A1631" s="473" t="s">
        <v>1950</v>
      </c>
    </row>
    <row r="1632" spans="1:1">
      <c r="A1632" s="473" t="s">
        <v>2075</v>
      </c>
    </row>
    <row r="1633" spans="1:1">
      <c r="A1633" s="473" t="s">
        <v>1736</v>
      </c>
    </row>
    <row r="1634" spans="1:1">
      <c r="A1634" s="473" t="s">
        <v>2053</v>
      </c>
    </row>
    <row r="1635" spans="1:1">
      <c r="A1635" s="473" t="s">
        <v>2316</v>
      </c>
    </row>
    <row r="1637" spans="1:1">
      <c r="A1637" s="395" t="s">
        <v>1188</v>
      </c>
    </row>
    <row r="1638" spans="1:1">
      <c r="A1638" s="473" t="s">
        <v>1739</v>
      </c>
    </row>
    <row r="1639" spans="1:1">
      <c r="A1639" s="473" t="s">
        <v>2317</v>
      </c>
    </row>
    <row r="1640" spans="1:1">
      <c r="A1640" s="473" t="s">
        <v>2318</v>
      </c>
    </row>
    <row r="1641" spans="1:1">
      <c r="A1641" s="473" t="s">
        <v>2319</v>
      </c>
    </row>
    <row r="1643" spans="1:1">
      <c r="A1643" s="472" t="s">
        <v>1419</v>
      </c>
    </row>
    <row r="1644" spans="1:1">
      <c r="A1644" s="394" t="s">
        <v>1420</v>
      </c>
    </row>
    <row r="1645" spans="1:1">
      <c r="A1645" s="472" t="s">
        <v>1421</v>
      </c>
    </row>
    <row r="1648" spans="1:1">
      <c r="A1648" s="394" t="s">
        <v>1181</v>
      </c>
    </row>
    <row r="1649" spans="1:1">
      <c r="A1649" s="473" t="s">
        <v>1878</v>
      </c>
    </row>
    <row r="1650" spans="1:1">
      <c r="A1650" s="473" t="s">
        <v>2320</v>
      </c>
    </row>
    <row r="1651" spans="1:1">
      <c r="A1651" s="473" t="s">
        <v>2321</v>
      </c>
    </row>
    <row r="1652" spans="1:1">
      <c r="A1652" s="473" t="s">
        <v>2322</v>
      </c>
    </row>
    <row r="1653" spans="1:1">
      <c r="A1653" s="473" t="s">
        <v>2323</v>
      </c>
    </row>
    <row r="1654" spans="1:1">
      <c r="A1654" s="473" t="s">
        <v>2324</v>
      </c>
    </row>
    <row r="1655" spans="1:1">
      <c r="A1655" s="473" t="s">
        <v>1830</v>
      </c>
    </row>
    <row r="1656" spans="1:1">
      <c r="A1656" s="473" t="s">
        <v>2325</v>
      </c>
    </row>
    <row r="1657" spans="1:1">
      <c r="A1657" s="394" t="s">
        <v>1182</v>
      </c>
    </row>
    <row r="1658" spans="1:1">
      <c r="A1658" s="471" t="s">
        <v>1422</v>
      </c>
    </row>
    <row r="1659" spans="1:1">
      <c r="A1659" s="471" t="s">
        <v>1423</v>
      </c>
    </row>
    <row r="1660" spans="1:1">
      <c r="A1660" s="471" t="s">
        <v>1424</v>
      </c>
    </row>
    <row r="1661" spans="1:1">
      <c r="A1661" s="394" t="s">
        <v>1186</v>
      </c>
    </row>
    <row r="1662" spans="1:1">
      <c r="A1662" s="473" t="s">
        <v>1749</v>
      </c>
    </row>
    <row r="1663" spans="1:1">
      <c r="A1663" s="473" t="s">
        <v>2063</v>
      </c>
    </row>
    <row r="1664" spans="1:1">
      <c r="A1664" s="473" t="s">
        <v>1869</v>
      </c>
    </row>
    <row r="1665" spans="1:1">
      <c r="A1665" s="473" t="s">
        <v>2326</v>
      </c>
    </row>
    <row r="1666" spans="1:1">
      <c r="A1666" s="473" t="s">
        <v>2327</v>
      </c>
    </row>
    <row r="1667" spans="1:1">
      <c r="A1667" s="473" t="s">
        <v>1725</v>
      </c>
    </row>
    <row r="1669" spans="1:1">
      <c r="A1669" s="395" t="s">
        <v>1187</v>
      </c>
    </row>
    <row r="1670" spans="1:1">
      <c r="A1670" s="473" t="s">
        <v>2328</v>
      </c>
    </row>
    <row r="1671" spans="1:1">
      <c r="A1671" s="473" t="s">
        <v>2329</v>
      </c>
    </row>
    <row r="1672" spans="1:1">
      <c r="A1672" s="473" t="s">
        <v>2330</v>
      </c>
    </row>
    <row r="1673" spans="1:1">
      <c r="A1673" s="473" t="s">
        <v>1874</v>
      </c>
    </row>
    <row r="1674" spans="1:1">
      <c r="A1674" s="473" t="s">
        <v>2331</v>
      </c>
    </row>
    <row r="1675" spans="1:1">
      <c r="A1675" s="473" t="s">
        <v>2332</v>
      </c>
    </row>
    <row r="1676" spans="1:1">
      <c r="A1676" s="473" t="s">
        <v>2333</v>
      </c>
    </row>
    <row r="1677" spans="1:1">
      <c r="A1677" s="473" t="s">
        <v>2249</v>
      </c>
    </row>
    <row r="1678" spans="1:1">
      <c r="A1678" s="473" t="s">
        <v>2334</v>
      </c>
    </row>
    <row r="1679" spans="1:1">
      <c r="A1679" s="473" t="s">
        <v>1759</v>
      </c>
    </row>
    <row r="1680" spans="1:1">
      <c r="A1680" s="473" t="s">
        <v>2075</v>
      </c>
    </row>
    <row r="1681" spans="1:1">
      <c r="A1681" s="473" t="s">
        <v>1779</v>
      </c>
    </row>
    <row r="1682" spans="1:1">
      <c r="A1682" s="473" t="s">
        <v>2053</v>
      </c>
    </row>
    <row r="1683" spans="1:1">
      <c r="A1683" s="473" t="s">
        <v>1738</v>
      </c>
    </row>
    <row r="1685" spans="1:1">
      <c r="A1685" s="395" t="s">
        <v>1188</v>
      </c>
    </row>
    <row r="1686" spans="1:1">
      <c r="A1686" s="473" t="s">
        <v>1781</v>
      </c>
    </row>
    <row r="1687" spans="1:1">
      <c r="A1687" s="473" t="s">
        <v>1740</v>
      </c>
    </row>
    <row r="1688" spans="1:1">
      <c r="A1688" s="473" t="s">
        <v>2335</v>
      </c>
    </row>
    <row r="1689" spans="1:1">
      <c r="A1689" s="473" t="s">
        <v>2336</v>
      </c>
    </row>
    <row r="1691" spans="1:1">
      <c r="A1691" s="472" t="s">
        <v>1425</v>
      </c>
    </row>
    <row r="1692" spans="1:1">
      <c r="A1692" s="394" t="s">
        <v>1420</v>
      </c>
    </row>
    <row r="1693" spans="1:1">
      <c r="A1693" s="472" t="s">
        <v>1426</v>
      </c>
    </row>
    <row r="1696" spans="1:1">
      <c r="A1696" s="394" t="s">
        <v>1181</v>
      </c>
    </row>
    <row r="1697" spans="1:1">
      <c r="A1697" s="473" t="s">
        <v>2337</v>
      </c>
    </row>
    <row r="1698" spans="1:1">
      <c r="A1698" s="473" t="s">
        <v>2338</v>
      </c>
    </row>
    <row r="1699" spans="1:1">
      <c r="A1699" s="473" t="s">
        <v>2339</v>
      </c>
    </row>
    <row r="1700" spans="1:1">
      <c r="A1700" s="473" t="s">
        <v>2254</v>
      </c>
    </row>
    <row r="1701" spans="1:1">
      <c r="A1701" s="473" t="s">
        <v>2340</v>
      </c>
    </row>
    <row r="1702" spans="1:1">
      <c r="A1702" s="473" t="s">
        <v>2341</v>
      </c>
    </row>
    <row r="1703" spans="1:1">
      <c r="A1703" s="473" t="s">
        <v>2099</v>
      </c>
    </row>
    <row r="1704" spans="1:1">
      <c r="A1704" s="473" t="s">
        <v>2342</v>
      </c>
    </row>
    <row r="1705" spans="1:1">
      <c r="A1705" s="394" t="s">
        <v>1182</v>
      </c>
    </row>
    <row r="1706" spans="1:1">
      <c r="A1706" s="471" t="s">
        <v>1427</v>
      </c>
    </row>
    <row r="1707" spans="1:1">
      <c r="A1707" s="471" t="s">
        <v>1428</v>
      </c>
    </row>
    <row r="1708" spans="1:1">
      <c r="A1708" s="471" t="s">
        <v>1429</v>
      </c>
    </row>
    <row r="1709" spans="1:1">
      <c r="A1709" s="394" t="s">
        <v>1186</v>
      </c>
    </row>
    <row r="1710" spans="1:1">
      <c r="A1710" s="473" t="s">
        <v>1721</v>
      </c>
    </row>
    <row r="1711" spans="1:1">
      <c r="A1711" s="473" t="s">
        <v>2063</v>
      </c>
    </row>
    <row r="1712" spans="1:1">
      <c r="A1712" s="473" t="s">
        <v>1723</v>
      </c>
    </row>
    <row r="1713" spans="1:1">
      <c r="A1713" s="473" t="s">
        <v>2343</v>
      </c>
    </row>
    <row r="1714" spans="1:1">
      <c r="A1714" s="473" t="s">
        <v>2344</v>
      </c>
    </row>
    <row r="1716" spans="1:1">
      <c r="A1716" s="395" t="s">
        <v>1187</v>
      </c>
    </row>
    <row r="1717" spans="1:1">
      <c r="A1717" s="473" t="s">
        <v>2345</v>
      </c>
    </row>
    <row r="1718" spans="1:1">
      <c r="A1718" s="473" t="s">
        <v>2346</v>
      </c>
    </row>
    <row r="1719" spans="1:1">
      <c r="A1719" s="473" t="s">
        <v>2347</v>
      </c>
    </row>
    <row r="1720" spans="1:1">
      <c r="A1720" s="473" t="s">
        <v>1729</v>
      </c>
    </row>
    <row r="1721" spans="1:1">
      <c r="A1721" s="473" t="s">
        <v>2348</v>
      </c>
    </row>
    <row r="1722" spans="1:1">
      <c r="A1722" s="473" t="s">
        <v>2349</v>
      </c>
    </row>
    <row r="1723" spans="1:1">
      <c r="A1723" s="473" t="s">
        <v>2350</v>
      </c>
    </row>
    <row r="1724" spans="1:1">
      <c r="A1724" s="473" t="s">
        <v>2351</v>
      </c>
    </row>
    <row r="1725" spans="1:1">
      <c r="A1725" s="473" t="s">
        <v>1949</v>
      </c>
    </row>
    <row r="1726" spans="1:1">
      <c r="A1726" s="473" t="s">
        <v>1950</v>
      </c>
    </row>
    <row r="1727" spans="1:1">
      <c r="A1727" s="473" t="s">
        <v>2075</v>
      </c>
    </row>
    <row r="1728" spans="1:1">
      <c r="A1728" s="473" t="s">
        <v>1736</v>
      </c>
    </row>
    <row r="1729" spans="1:1">
      <c r="A1729" s="473" t="s">
        <v>1737</v>
      </c>
    </row>
    <row r="1730" spans="1:1">
      <c r="A1730" s="473" t="s">
        <v>2316</v>
      </c>
    </row>
    <row r="1732" spans="1:1">
      <c r="A1732" s="395" t="s">
        <v>1188</v>
      </c>
    </row>
    <row r="1733" spans="1:1">
      <c r="A1733" s="473" t="s">
        <v>2192</v>
      </c>
    </row>
    <row r="1734" spans="1:1">
      <c r="A1734" s="473" t="s">
        <v>1740</v>
      </c>
    </row>
    <row r="1735" spans="1:1">
      <c r="A1735" s="473" t="s">
        <v>2352</v>
      </c>
    </row>
    <row r="1736" spans="1:1">
      <c r="A1736" s="473" t="s">
        <v>2353</v>
      </c>
    </row>
    <row r="1738" spans="1:1">
      <c r="A1738" s="472" t="s">
        <v>402</v>
      </c>
    </row>
    <row r="1739" spans="1:1">
      <c r="A1739" s="394" t="s">
        <v>1420</v>
      </c>
    </row>
    <row r="1740" spans="1:1">
      <c r="A1740" s="472" t="s">
        <v>1430</v>
      </c>
    </row>
    <row r="1743" spans="1:1">
      <c r="A1743" s="394" t="s">
        <v>1181</v>
      </c>
    </row>
    <row r="1744" spans="1:1">
      <c r="A1744" s="473" t="s">
        <v>2354</v>
      </c>
    </row>
    <row r="1745" spans="1:1">
      <c r="A1745" s="473" t="s">
        <v>1826</v>
      </c>
    </row>
    <row r="1746" spans="1:1">
      <c r="A1746" s="473" t="s">
        <v>2355</v>
      </c>
    </row>
    <row r="1747" spans="1:1">
      <c r="A1747" s="473" t="s">
        <v>2356</v>
      </c>
    </row>
    <row r="1748" spans="1:1">
      <c r="A1748" s="473" t="s">
        <v>2357</v>
      </c>
    </row>
    <row r="1749" spans="1:1">
      <c r="A1749" s="473" t="s">
        <v>2358</v>
      </c>
    </row>
    <row r="1750" spans="1:1">
      <c r="A1750" s="473" t="s">
        <v>2099</v>
      </c>
    </row>
    <row r="1751" spans="1:1">
      <c r="A1751" s="473" t="s">
        <v>2359</v>
      </c>
    </row>
    <row r="1752" spans="1:1">
      <c r="A1752" s="394" t="s">
        <v>1182</v>
      </c>
    </row>
    <row r="1753" spans="1:1">
      <c r="A1753" s="471" t="s">
        <v>1431</v>
      </c>
    </row>
    <row r="1754" spans="1:1">
      <c r="A1754" s="471" t="s">
        <v>1432</v>
      </c>
    </row>
    <row r="1755" spans="1:1">
      <c r="A1755" s="471" t="s">
        <v>1433</v>
      </c>
    </row>
    <row r="1756" spans="1:1">
      <c r="A1756" s="394" t="s">
        <v>1186</v>
      </c>
    </row>
    <row r="1757" spans="1:1">
      <c r="A1757" s="473" t="s">
        <v>1749</v>
      </c>
    </row>
    <row r="1758" spans="1:1">
      <c r="A1758" s="473" t="s">
        <v>1722</v>
      </c>
    </row>
    <row r="1759" spans="1:1">
      <c r="A1759" s="473" t="s">
        <v>1885</v>
      </c>
    </row>
    <row r="1760" spans="1:1">
      <c r="A1760" s="473" t="s">
        <v>2360</v>
      </c>
    </row>
    <row r="1761" spans="1:1">
      <c r="A1761" s="473" t="s">
        <v>2361</v>
      </c>
    </row>
    <row r="1762" spans="1:1">
      <c r="A1762" s="473" t="s">
        <v>1725</v>
      </c>
    </row>
    <row r="1764" spans="1:1">
      <c r="A1764" s="395" t="s">
        <v>1187</v>
      </c>
    </row>
    <row r="1765" spans="1:1">
      <c r="A1765" s="473" t="s">
        <v>2362</v>
      </c>
    </row>
    <row r="1766" spans="1:1">
      <c r="A1766" s="473" t="s">
        <v>2363</v>
      </c>
    </row>
    <row r="1767" spans="1:1">
      <c r="A1767" s="473" t="s">
        <v>2275</v>
      </c>
    </row>
    <row r="1768" spans="1:1">
      <c r="A1768" s="473" t="s">
        <v>1799</v>
      </c>
    </row>
    <row r="1769" spans="1:1">
      <c r="A1769" s="473" t="s">
        <v>2364</v>
      </c>
    </row>
    <row r="1770" spans="1:1">
      <c r="A1770" s="473" t="s">
        <v>2365</v>
      </c>
    </row>
    <row r="1771" spans="1:1">
      <c r="A1771" s="473" t="s">
        <v>2366</v>
      </c>
    </row>
    <row r="1772" spans="1:1">
      <c r="A1772" s="473" t="s">
        <v>2367</v>
      </c>
    </row>
    <row r="1773" spans="1:1">
      <c r="A1773" s="473" t="s">
        <v>2074</v>
      </c>
    </row>
    <row r="1774" spans="1:1">
      <c r="A1774" s="473" t="s">
        <v>1735</v>
      </c>
    </row>
    <row r="1775" spans="1:1">
      <c r="A1775" s="473" t="s">
        <v>1779</v>
      </c>
    </row>
    <row r="1776" spans="1:1">
      <c r="A1776" s="473" t="s">
        <v>1806</v>
      </c>
    </row>
    <row r="1777" spans="1:1">
      <c r="A1777" s="473" t="s">
        <v>1738</v>
      </c>
    </row>
    <row r="1779" spans="1:1">
      <c r="A1779" s="395" t="s">
        <v>1188</v>
      </c>
    </row>
    <row r="1780" spans="1:1">
      <c r="A1780" s="473" t="s">
        <v>1840</v>
      </c>
    </row>
    <row r="1781" spans="1:1">
      <c r="A1781" s="473" t="s">
        <v>1740</v>
      </c>
    </row>
    <row r="1782" spans="1:1">
      <c r="A1782" s="473" t="s">
        <v>2368</v>
      </c>
    </row>
    <row r="1784" spans="1:1">
      <c r="A1784" s="472" t="s">
        <v>1434</v>
      </c>
    </row>
    <row r="1785" spans="1:1">
      <c r="A1785" s="394" t="s">
        <v>1420</v>
      </c>
    </row>
    <row r="1786" spans="1:1">
      <c r="A1786" s="472" t="s">
        <v>1435</v>
      </c>
    </row>
    <row r="1789" spans="1:1">
      <c r="A1789" s="394" t="s">
        <v>1181</v>
      </c>
    </row>
    <row r="1790" spans="1:1">
      <c r="A1790" s="473" t="s">
        <v>1878</v>
      </c>
    </row>
    <row r="1791" spans="1:1">
      <c r="A1791" s="473" t="s">
        <v>1743</v>
      </c>
    </row>
    <row r="1792" spans="1:1">
      <c r="A1792" s="473" t="s">
        <v>2369</v>
      </c>
    </row>
    <row r="1793" spans="1:1">
      <c r="A1793" s="473" t="s">
        <v>2370</v>
      </c>
    </row>
    <row r="1794" spans="1:1">
      <c r="A1794" s="473" t="s">
        <v>2371</v>
      </c>
    </row>
    <row r="1795" spans="1:1">
      <c r="A1795" s="473" t="s">
        <v>2372</v>
      </c>
    </row>
    <row r="1796" spans="1:1">
      <c r="A1796" s="473" t="s">
        <v>2373</v>
      </c>
    </row>
    <row r="1797" spans="1:1">
      <c r="A1797" s="473" t="s">
        <v>2374</v>
      </c>
    </row>
    <row r="1798" spans="1:1">
      <c r="A1798" s="394" t="s">
        <v>1182</v>
      </c>
    </row>
    <row r="1799" spans="1:1">
      <c r="A1799" s="471" t="s">
        <v>1436</v>
      </c>
    </row>
    <row r="1800" spans="1:1">
      <c r="A1800" s="471" t="s">
        <v>1437</v>
      </c>
    </row>
    <row r="1801" spans="1:1">
      <c r="A1801" s="471" t="s">
        <v>1438</v>
      </c>
    </row>
    <row r="1802" spans="1:1">
      <c r="A1802" s="394" t="s">
        <v>1186</v>
      </c>
    </row>
    <row r="1803" spans="1:1">
      <c r="A1803" s="473" t="s">
        <v>1749</v>
      </c>
    </row>
    <row r="1804" spans="1:1">
      <c r="A1804" s="473" t="s">
        <v>1722</v>
      </c>
    </row>
    <row r="1805" spans="1:1">
      <c r="A1805" s="473" t="s">
        <v>1869</v>
      </c>
    </row>
    <row r="1806" spans="1:1">
      <c r="A1806" s="473" t="s">
        <v>2375</v>
      </c>
    </row>
    <row r="1807" spans="1:1">
      <c r="A1807" s="473" t="s">
        <v>2376</v>
      </c>
    </row>
    <row r="1808" spans="1:1">
      <c r="A1808" s="473" t="s">
        <v>1851</v>
      </c>
    </row>
    <row r="1810" spans="1:1">
      <c r="A1810" s="395" t="s">
        <v>1187</v>
      </c>
    </row>
    <row r="1811" spans="1:1">
      <c r="A1811" s="473" t="s">
        <v>2377</v>
      </c>
    </row>
    <row r="1812" spans="1:1">
      <c r="A1812" s="473" t="s">
        <v>2378</v>
      </c>
    </row>
    <row r="1813" spans="1:1">
      <c r="A1813" s="473" t="s">
        <v>1754</v>
      </c>
    </row>
    <row r="1814" spans="1:1">
      <c r="A1814" s="473" t="s">
        <v>1729</v>
      </c>
    </row>
    <row r="1815" spans="1:1">
      <c r="A1815" s="473" t="s">
        <v>2379</v>
      </c>
    </row>
    <row r="1816" spans="1:1">
      <c r="A1816" s="473" t="s">
        <v>2380</v>
      </c>
    </row>
    <row r="1817" spans="1:1">
      <c r="A1817" s="473" t="s">
        <v>2381</v>
      </c>
    </row>
    <row r="1818" spans="1:1">
      <c r="A1818" s="473" t="s">
        <v>2382</v>
      </c>
    </row>
    <row r="1819" spans="1:1">
      <c r="A1819" s="473" t="s">
        <v>2383</v>
      </c>
    </row>
    <row r="1820" spans="1:1">
      <c r="A1820" s="473" t="s">
        <v>1759</v>
      </c>
    </row>
    <row r="1821" spans="1:1">
      <c r="A1821" s="473" t="s">
        <v>1735</v>
      </c>
    </row>
    <row r="1822" spans="1:1">
      <c r="A1822" s="473" t="s">
        <v>1779</v>
      </c>
    </row>
    <row r="1823" spans="1:1">
      <c r="A1823" s="473" t="s">
        <v>1780</v>
      </c>
    </row>
    <row r="1824" spans="1:1">
      <c r="A1824" s="473" t="s">
        <v>1861</v>
      </c>
    </row>
    <row r="1826" spans="1:1">
      <c r="A1826" s="395" t="s">
        <v>1188</v>
      </c>
    </row>
    <row r="1827" spans="1:1">
      <c r="A1827" s="473" t="s">
        <v>1739</v>
      </c>
    </row>
    <row r="1828" spans="1:1">
      <c r="A1828" s="473" t="s">
        <v>1740</v>
      </c>
    </row>
    <row r="1829" spans="1:1">
      <c r="A1829" s="473" t="s">
        <v>2384</v>
      </c>
    </row>
    <row r="1831" spans="1:1">
      <c r="A1831" s="472" t="s">
        <v>1439</v>
      </c>
    </row>
    <row r="1832" spans="1:1">
      <c r="A1832" s="394" t="s">
        <v>1420</v>
      </c>
    </row>
    <row r="1833" spans="1:1">
      <c r="A1833" s="472" t="s">
        <v>1440</v>
      </c>
    </row>
    <row r="1834" spans="1:1">
      <c r="A1834" s="472" t="s">
        <v>1439</v>
      </c>
    </row>
    <row r="1835" spans="1:1">
      <c r="A1835" s="472" t="s">
        <v>1441</v>
      </c>
    </row>
    <row r="1836" spans="1:1">
      <c r="A1836" s="472" t="s">
        <v>1442</v>
      </c>
    </row>
    <row r="1837" spans="1:1">
      <c r="A1837" s="472" t="s">
        <v>1443</v>
      </c>
    </row>
    <row r="1838" spans="1:1">
      <c r="A1838" s="472" t="s">
        <v>1444</v>
      </c>
    </row>
    <row r="1839" spans="1:1">
      <c r="A1839" s="471" t="s">
        <v>1445</v>
      </c>
    </row>
    <row r="1840" spans="1:1">
      <c r="A1840" s="471" t="s">
        <v>1446</v>
      </c>
    </row>
    <row r="1843" spans="1:1">
      <c r="A1843" s="394" t="s">
        <v>1181</v>
      </c>
    </row>
    <row r="1844" spans="1:1">
      <c r="A1844" s="473" t="s">
        <v>2385</v>
      </c>
    </row>
    <row r="1845" spans="1:1">
      <c r="A1845" s="473" t="s">
        <v>2057</v>
      </c>
    </row>
    <row r="1846" spans="1:1">
      <c r="A1846" s="473" t="s">
        <v>1844</v>
      </c>
    </row>
    <row r="1847" spans="1:1">
      <c r="A1847" s="473" t="s">
        <v>2386</v>
      </c>
    </row>
    <row r="1848" spans="1:1">
      <c r="A1848" s="473" t="s">
        <v>2387</v>
      </c>
    </row>
    <row r="1849" spans="1:1">
      <c r="A1849" s="473" t="s">
        <v>2388</v>
      </c>
    </row>
    <row r="1850" spans="1:1">
      <c r="A1850" s="473" t="s">
        <v>1830</v>
      </c>
    </row>
    <row r="1851" spans="1:1">
      <c r="A1851" s="473" t="s">
        <v>2389</v>
      </c>
    </row>
    <row r="1852" spans="1:1">
      <c r="A1852" s="394" t="s">
        <v>1182</v>
      </c>
    </row>
    <row r="1853" spans="1:1">
      <c r="A1853" s="471" t="s">
        <v>1447</v>
      </c>
    </row>
    <row r="1854" spans="1:1">
      <c r="A1854" s="471" t="s">
        <v>1448</v>
      </c>
    </row>
    <row r="1855" spans="1:1">
      <c r="A1855" s="471" t="s">
        <v>1449</v>
      </c>
    </row>
    <row r="1856" spans="1:1">
      <c r="A1856" s="394" t="s">
        <v>1186</v>
      </c>
    </row>
    <row r="1857" spans="1:1">
      <c r="A1857" s="473" t="s">
        <v>1941</v>
      </c>
    </row>
    <row r="1858" spans="1:1">
      <c r="A1858" s="473" t="s">
        <v>1722</v>
      </c>
    </row>
    <row r="1859" spans="1:1">
      <c r="A1859" s="473" t="s">
        <v>1869</v>
      </c>
    </row>
    <row r="1860" spans="1:1">
      <c r="A1860" s="473" t="s">
        <v>2390</v>
      </c>
    </row>
    <row r="1861" spans="1:1">
      <c r="A1861" s="473" t="s">
        <v>2327</v>
      </c>
    </row>
    <row r="1862" spans="1:1">
      <c r="A1862" s="473" t="s">
        <v>1851</v>
      </c>
    </row>
    <row r="1864" spans="1:1">
      <c r="A1864" s="395" t="s">
        <v>1187</v>
      </c>
    </row>
    <row r="1865" spans="1:1">
      <c r="A1865" s="473" t="s">
        <v>2391</v>
      </c>
    </row>
    <row r="1866" spans="1:1">
      <c r="A1866" s="473" t="s">
        <v>2392</v>
      </c>
    </row>
    <row r="1867" spans="1:1">
      <c r="A1867" s="473" t="s">
        <v>2393</v>
      </c>
    </row>
    <row r="1868" spans="1:1">
      <c r="A1868" s="473" t="s">
        <v>1874</v>
      </c>
    </row>
    <row r="1869" spans="1:1">
      <c r="A1869" s="473" t="s">
        <v>2394</v>
      </c>
    </row>
    <row r="1870" spans="1:1">
      <c r="A1870" s="473" t="s">
        <v>1837</v>
      </c>
    </row>
    <row r="1871" spans="1:1">
      <c r="A1871" s="473" t="s">
        <v>2395</v>
      </c>
    </row>
    <row r="1872" spans="1:1">
      <c r="A1872" s="473" t="s">
        <v>2396</v>
      </c>
    </row>
    <row r="1873" spans="1:1">
      <c r="A1873" s="473" t="s">
        <v>2383</v>
      </c>
    </row>
    <row r="1874" spans="1:1">
      <c r="A1874" s="473" t="s">
        <v>1759</v>
      </c>
    </row>
    <row r="1875" spans="1:1">
      <c r="A1875" s="473" t="s">
        <v>1735</v>
      </c>
    </row>
    <row r="1876" spans="1:1">
      <c r="A1876" s="473" t="s">
        <v>1779</v>
      </c>
    </row>
    <row r="1877" spans="1:1">
      <c r="A1877" s="473" t="s">
        <v>2053</v>
      </c>
    </row>
    <row r="1878" spans="1:1">
      <c r="A1878" s="473" t="s">
        <v>1738</v>
      </c>
    </row>
    <row r="1880" spans="1:1">
      <c r="A1880" s="395" t="s">
        <v>1188</v>
      </c>
    </row>
    <row r="1881" spans="1:1">
      <c r="A1881" s="473" t="s">
        <v>1739</v>
      </c>
    </row>
    <row r="1882" spans="1:1">
      <c r="A1882" s="473" t="s">
        <v>1740</v>
      </c>
    </row>
    <row r="1883" spans="1:1">
      <c r="A1883" s="473" t="s">
        <v>2397</v>
      </c>
    </row>
    <row r="1884" spans="1:1">
      <c r="A1884" s="473" t="s">
        <v>2398</v>
      </c>
    </row>
    <row r="1886" spans="1:1">
      <c r="A1886" s="472" t="s">
        <v>1450</v>
      </c>
    </row>
    <row r="1887" spans="1:1">
      <c r="A1887" s="394" t="s">
        <v>1420</v>
      </c>
    </row>
    <row r="1888" spans="1:1">
      <c r="A1888" s="472" t="s">
        <v>1451</v>
      </c>
    </row>
    <row r="1889" spans="1:1">
      <c r="A1889" s="472" t="s">
        <v>1452</v>
      </c>
    </row>
    <row r="1890" spans="1:1">
      <c r="A1890" s="472" t="s">
        <v>1453</v>
      </c>
    </row>
    <row r="1891" spans="1:1">
      <c r="A1891" s="472" t="s">
        <v>1454</v>
      </c>
    </row>
    <row r="1892" spans="1:1">
      <c r="A1892" s="472" t="s">
        <v>1455</v>
      </c>
    </row>
    <row r="1893" spans="1:1">
      <c r="A1893" s="472" t="s">
        <v>1456</v>
      </c>
    </row>
    <row r="1894" spans="1:1">
      <c r="A1894" s="471" t="s">
        <v>1457</v>
      </c>
    </row>
    <row r="1895" spans="1:1">
      <c r="A1895" s="471" t="s">
        <v>1458</v>
      </c>
    </row>
    <row r="1898" spans="1:1">
      <c r="A1898" s="394" t="s">
        <v>1181</v>
      </c>
    </row>
    <row r="1899" spans="1:1">
      <c r="A1899" s="473" t="s">
        <v>2399</v>
      </c>
    </row>
    <row r="1900" spans="1:1">
      <c r="A1900" s="473" t="s">
        <v>2281</v>
      </c>
    </row>
    <row r="1901" spans="1:1">
      <c r="A1901" s="473" t="s">
        <v>2400</v>
      </c>
    </row>
    <row r="1902" spans="1:1">
      <c r="A1902" s="473" t="s">
        <v>2401</v>
      </c>
    </row>
    <row r="1903" spans="1:1">
      <c r="A1903" s="473" t="s">
        <v>1882</v>
      </c>
    </row>
    <row r="1904" spans="1:1">
      <c r="A1904" s="473" t="s">
        <v>1718</v>
      </c>
    </row>
    <row r="1905" spans="1:1">
      <c r="A1905" s="473" t="s">
        <v>1719</v>
      </c>
    </row>
    <row r="1906" spans="1:1">
      <c r="A1906" s="473" t="s">
        <v>2402</v>
      </c>
    </row>
    <row r="1907" spans="1:1">
      <c r="A1907" s="394" t="s">
        <v>1182</v>
      </c>
    </row>
    <row r="1908" spans="1:1">
      <c r="A1908" s="471" t="s">
        <v>1459</v>
      </c>
    </row>
    <row r="1909" spans="1:1">
      <c r="A1909" s="471" t="s">
        <v>1460</v>
      </c>
    </row>
    <row r="1910" spans="1:1">
      <c r="A1910" s="471" t="s">
        <v>1461</v>
      </c>
    </row>
    <row r="1911" spans="1:1">
      <c r="A1911" s="394" t="s">
        <v>1186</v>
      </c>
    </row>
    <row r="1912" spans="1:1">
      <c r="A1912" s="473" t="s">
        <v>1749</v>
      </c>
    </row>
    <row r="1913" spans="1:1">
      <c r="A1913" s="473" t="s">
        <v>1722</v>
      </c>
    </row>
    <row r="1914" spans="1:1">
      <c r="A1914" s="473" t="s">
        <v>1993</v>
      </c>
    </row>
    <row r="1915" spans="1:1">
      <c r="A1915" s="473" t="s">
        <v>2403</v>
      </c>
    </row>
    <row r="1916" spans="1:1">
      <c r="A1916" s="473" t="s">
        <v>2404</v>
      </c>
    </row>
    <row r="1918" spans="1:1">
      <c r="A1918" s="395" t="s">
        <v>1187</v>
      </c>
    </row>
    <row r="1919" spans="1:1">
      <c r="A1919" s="473" t="s">
        <v>2405</v>
      </c>
    </row>
    <row r="1920" spans="1:1">
      <c r="A1920" s="473" t="s">
        <v>2406</v>
      </c>
    </row>
    <row r="1921" spans="1:1">
      <c r="A1921" s="473" t="s">
        <v>2407</v>
      </c>
    </row>
    <row r="1922" spans="1:1">
      <c r="A1922" s="473" t="s">
        <v>1799</v>
      </c>
    </row>
    <row r="1923" spans="1:1">
      <c r="A1923" s="473" t="s">
        <v>2408</v>
      </c>
    </row>
    <row r="1924" spans="1:1">
      <c r="A1924" s="473" t="s">
        <v>1801</v>
      </c>
    </row>
    <row r="1925" spans="1:1">
      <c r="A1925" s="473" t="s">
        <v>2409</v>
      </c>
    </row>
    <row r="1926" spans="1:1">
      <c r="A1926" s="473" t="s">
        <v>2410</v>
      </c>
    </row>
    <row r="1927" spans="1:1">
      <c r="A1927" s="473" t="s">
        <v>2411</v>
      </c>
    </row>
    <row r="1928" spans="1:1">
      <c r="A1928" s="473" t="s">
        <v>2213</v>
      </c>
    </row>
    <row r="1929" spans="1:1">
      <c r="A1929" s="473" t="s">
        <v>1735</v>
      </c>
    </row>
    <row r="1930" spans="1:1">
      <c r="A1930" s="473" t="s">
        <v>1779</v>
      </c>
    </row>
    <row r="1931" spans="1:1">
      <c r="A1931" s="473" t="s">
        <v>1737</v>
      </c>
    </row>
    <row r="1932" spans="1:1">
      <c r="A1932" s="473" t="s">
        <v>1738</v>
      </c>
    </row>
    <row r="1934" spans="1:1">
      <c r="A1934" s="395" t="s">
        <v>1188</v>
      </c>
    </row>
    <row r="1935" spans="1:1">
      <c r="A1935" s="473" t="s">
        <v>1781</v>
      </c>
    </row>
    <row r="1936" spans="1:1">
      <c r="A1936" s="473" t="s">
        <v>1740</v>
      </c>
    </row>
    <row r="1937" spans="1:1">
      <c r="A1937" s="473" t="s">
        <v>2412</v>
      </c>
    </row>
    <row r="1938" spans="1:1">
      <c r="A1938" s="473" t="s">
        <v>2413</v>
      </c>
    </row>
    <row r="1940" spans="1:1">
      <c r="A1940" s="472" t="s">
        <v>1462</v>
      </c>
    </row>
    <row r="1941" spans="1:1">
      <c r="A1941" s="394" t="s">
        <v>1463</v>
      </c>
    </row>
    <row r="1942" spans="1:1">
      <c r="A1942" s="472" t="s">
        <v>1464</v>
      </c>
    </row>
    <row r="1945" spans="1:1">
      <c r="A1945" s="394" t="s">
        <v>1181</v>
      </c>
    </row>
    <row r="1946" spans="1:1">
      <c r="A1946" s="473" t="s">
        <v>2140</v>
      </c>
    </row>
    <row r="1947" spans="1:1">
      <c r="A1947" s="473" t="s">
        <v>2414</v>
      </c>
    </row>
    <row r="1948" spans="1:1">
      <c r="A1948" s="473" t="s">
        <v>2415</v>
      </c>
    </row>
    <row r="1949" spans="1:1">
      <c r="A1949" s="473" t="s">
        <v>2416</v>
      </c>
    </row>
    <row r="1950" spans="1:1">
      <c r="A1950" s="473" t="s">
        <v>2417</v>
      </c>
    </row>
    <row r="1951" spans="1:1">
      <c r="A1951" s="473" t="s">
        <v>2418</v>
      </c>
    </row>
    <row r="1952" spans="1:1">
      <c r="A1952" s="473" t="s">
        <v>1719</v>
      </c>
    </row>
    <row r="1953" spans="1:1">
      <c r="A1953" s="473" t="s">
        <v>1909</v>
      </c>
    </row>
    <row r="1954" spans="1:1">
      <c r="A1954" s="394" t="s">
        <v>1182</v>
      </c>
    </row>
    <row r="1955" spans="1:1">
      <c r="A1955" s="471" t="s">
        <v>1465</v>
      </c>
    </row>
    <row r="1956" spans="1:1">
      <c r="A1956" s="471" t="s">
        <v>1466</v>
      </c>
    </row>
    <row r="1957" spans="1:1">
      <c r="A1957" s="471" t="s">
        <v>1467</v>
      </c>
    </row>
    <row r="1958" spans="1:1">
      <c r="A1958" s="394" t="s">
        <v>1186</v>
      </c>
    </row>
    <row r="1959" spans="1:1">
      <c r="A1959" s="473" t="s">
        <v>1992</v>
      </c>
    </row>
    <row r="1960" spans="1:1">
      <c r="A1960" s="473" t="s">
        <v>1848</v>
      </c>
    </row>
    <row r="1961" spans="1:1">
      <c r="A1961" s="473" t="s">
        <v>2182</v>
      </c>
    </row>
    <row r="1962" spans="1:1">
      <c r="A1962" s="473" t="s">
        <v>2419</v>
      </c>
    </row>
    <row r="1963" spans="1:1">
      <c r="A1963" s="473" t="s">
        <v>1725</v>
      </c>
    </row>
    <row r="1965" spans="1:1">
      <c r="A1965" s="395" t="s">
        <v>1187</v>
      </c>
    </row>
    <row r="1966" spans="1:1">
      <c r="A1966" s="473" t="s">
        <v>2420</v>
      </c>
    </row>
    <row r="1967" spans="1:1">
      <c r="A1967" s="473" t="s">
        <v>2421</v>
      </c>
    </row>
    <row r="1968" spans="1:1">
      <c r="A1968" s="473" t="s">
        <v>2422</v>
      </c>
    </row>
    <row r="1969" spans="1:1">
      <c r="A1969" s="473" t="s">
        <v>1729</v>
      </c>
    </row>
    <row r="1970" spans="1:1">
      <c r="A1970" s="473" t="s">
        <v>2423</v>
      </c>
    </row>
    <row r="1971" spans="1:1">
      <c r="A1971" s="473" t="s">
        <v>1980</v>
      </c>
    </row>
    <row r="1972" spans="1:1">
      <c r="A1972" s="473" t="s">
        <v>2424</v>
      </c>
    </row>
    <row r="1973" spans="1:1">
      <c r="A1973" s="473" t="s">
        <v>2154</v>
      </c>
    </row>
    <row r="1974" spans="1:1">
      <c r="A1974" s="473" t="s">
        <v>1734</v>
      </c>
    </row>
    <row r="1975" spans="1:1">
      <c r="A1975" s="473" t="s">
        <v>1859</v>
      </c>
    </row>
    <row r="1976" spans="1:1">
      <c r="A1976" s="473" t="s">
        <v>1967</v>
      </c>
    </row>
    <row r="1977" spans="1:1">
      <c r="A1977" s="473" t="s">
        <v>1806</v>
      </c>
    </row>
    <row r="1978" spans="1:1">
      <c r="A1978" s="473" t="s">
        <v>1738</v>
      </c>
    </row>
    <row r="1980" spans="1:1">
      <c r="A1980" s="395" t="s">
        <v>1188</v>
      </c>
    </row>
    <row r="1981" spans="1:1">
      <c r="A1981" s="473" t="s">
        <v>1739</v>
      </c>
    </row>
    <row r="1982" spans="1:1">
      <c r="A1982" s="473" t="s">
        <v>1740</v>
      </c>
    </row>
    <row r="1983" spans="1:1">
      <c r="A1983" s="473" t="s">
        <v>2425</v>
      </c>
    </row>
    <row r="1984" spans="1:1">
      <c r="A1984" s="473" t="s">
        <v>2426</v>
      </c>
    </row>
    <row r="1986" spans="1:1">
      <c r="A1986" s="472" t="s">
        <v>1468</v>
      </c>
    </row>
    <row r="1987" spans="1:1">
      <c r="A1987" s="394" t="s">
        <v>1463</v>
      </c>
    </row>
    <row r="1988" spans="1:1">
      <c r="A1988" s="472" t="s">
        <v>1469</v>
      </c>
    </row>
    <row r="1991" spans="1:1">
      <c r="A1991" s="394" t="s">
        <v>1181</v>
      </c>
    </row>
    <row r="1992" spans="1:1">
      <c r="A1992" s="473" t="s">
        <v>2427</v>
      </c>
    </row>
    <row r="1993" spans="1:1">
      <c r="A1993" s="473" t="s">
        <v>2428</v>
      </c>
    </row>
    <row r="1994" spans="1:1">
      <c r="A1994" s="473" t="s">
        <v>2429</v>
      </c>
    </row>
    <row r="1995" spans="1:1">
      <c r="A1995" s="473" t="s">
        <v>2430</v>
      </c>
    </row>
    <row r="1996" spans="1:1">
      <c r="A1996" s="473" t="s">
        <v>2431</v>
      </c>
    </row>
    <row r="1997" spans="1:1">
      <c r="A1997" s="473" t="s">
        <v>2418</v>
      </c>
    </row>
    <row r="1998" spans="1:1">
      <c r="A1998" s="473" t="s">
        <v>1719</v>
      </c>
    </row>
    <row r="1999" spans="1:1">
      <c r="A1999" s="473" t="s">
        <v>2432</v>
      </c>
    </row>
    <row r="2000" spans="1:1">
      <c r="A2000" s="394" t="s">
        <v>1182</v>
      </c>
    </row>
    <row r="2001" spans="1:1">
      <c r="A2001" s="471" t="s">
        <v>1470</v>
      </c>
    </row>
    <row r="2002" spans="1:1">
      <c r="A2002" s="471" t="s">
        <v>1471</v>
      </c>
    </row>
    <row r="2003" spans="1:1">
      <c r="A2003" s="471" t="s">
        <v>1472</v>
      </c>
    </row>
    <row r="2004" spans="1:1">
      <c r="A2004" s="394" t="s">
        <v>1186</v>
      </c>
    </row>
    <row r="2005" spans="1:1">
      <c r="A2005" s="473" t="s">
        <v>1992</v>
      </c>
    </row>
    <row r="2006" spans="1:1">
      <c r="A2006" s="473" t="s">
        <v>1848</v>
      </c>
    </row>
    <row r="2007" spans="1:1">
      <c r="A2007" s="473" t="s">
        <v>2433</v>
      </c>
    </row>
    <row r="2008" spans="1:1">
      <c r="A2008" s="473" t="s">
        <v>2434</v>
      </c>
    </row>
    <row r="2009" spans="1:1">
      <c r="A2009" s="473" t="s">
        <v>2435</v>
      </c>
    </row>
    <row r="2010" spans="1:1">
      <c r="A2010" s="473" t="s">
        <v>1795</v>
      </c>
    </row>
    <row r="2012" spans="1:1">
      <c r="A2012" s="395" t="s">
        <v>1187</v>
      </c>
    </row>
    <row r="2013" spans="1:1">
      <c r="A2013" s="473" t="s">
        <v>1912</v>
      </c>
    </row>
    <row r="2014" spans="1:1">
      <c r="A2014" s="473" t="s">
        <v>2436</v>
      </c>
    </row>
    <row r="2015" spans="1:1">
      <c r="A2015" s="473" t="s">
        <v>2437</v>
      </c>
    </row>
    <row r="2016" spans="1:1">
      <c r="A2016" s="473" t="s">
        <v>1799</v>
      </c>
    </row>
    <row r="2017" spans="1:1">
      <c r="A2017" s="473" t="s">
        <v>2438</v>
      </c>
    </row>
    <row r="2018" spans="1:1">
      <c r="A2018" s="473" t="s">
        <v>1980</v>
      </c>
    </row>
    <row r="2019" spans="1:1">
      <c r="A2019" s="473" t="s">
        <v>2439</v>
      </c>
    </row>
    <row r="2020" spans="1:1">
      <c r="A2020" s="473" t="s">
        <v>2440</v>
      </c>
    </row>
    <row r="2021" spans="1:1">
      <c r="A2021" s="473" t="s">
        <v>1734</v>
      </c>
    </row>
    <row r="2022" spans="1:1">
      <c r="A2022" s="473" t="s">
        <v>1859</v>
      </c>
    </row>
    <row r="2023" spans="1:1">
      <c r="A2023" s="473" t="s">
        <v>1967</v>
      </c>
    </row>
    <row r="2024" spans="1:1">
      <c r="A2024" s="473" t="s">
        <v>1780</v>
      </c>
    </row>
    <row r="2025" spans="1:1">
      <c r="A2025" s="473" t="s">
        <v>1738</v>
      </c>
    </row>
    <row r="2027" spans="1:1">
      <c r="A2027" s="395" t="s">
        <v>1188</v>
      </c>
    </row>
    <row r="2028" spans="1:1">
      <c r="A2028" s="473" t="s">
        <v>1840</v>
      </c>
    </row>
    <row r="2029" spans="1:1">
      <c r="A2029" s="473" t="s">
        <v>1740</v>
      </c>
    </row>
    <row r="2030" spans="1:1">
      <c r="A2030" s="473" t="s">
        <v>2441</v>
      </c>
    </row>
    <row r="2031" spans="1:1">
      <c r="A2031" s="473" t="s">
        <v>2442</v>
      </c>
    </row>
    <row r="2033" spans="1:1">
      <c r="A2033" s="472" t="s">
        <v>1473</v>
      </c>
    </row>
    <row r="2034" spans="1:1">
      <c r="A2034" s="394" t="s">
        <v>1463</v>
      </c>
    </row>
    <row r="2035" spans="1:1">
      <c r="A2035" s="472" t="s">
        <v>1474</v>
      </c>
    </row>
    <row r="2038" spans="1:1">
      <c r="A2038" s="394" t="s">
        <v>1181</v>
      </c>
    </row>
    <row r="2039" spans="1:1">
      <c r="A2039" s="473" t="s">
        <v>1920</v>
      </c>
    </row>
    <row r="2040" spans="1:1">
      <c r="A2040" s="473" t="s">
        <v>2443</v>
      </c>
    </row>
    <row r="2041" spans="1:1">
      <c r="A2041" s="473" t="s">
        <v>2444</v>
      </c>
    </row>
    <row r="2042" spans="1:1">
      <c r="A2042" s="473" t="s">
        <v>2254</v>
      </c>
    </row>
    <row r="2043" spans="1:1">
      <c r="A2043" s="473" t="s">
        <v>2445</v>
      </c>
    </row>
    <row r="2044" spans="1:1">
      <c r="A2044" s="473" t="s">
        <v>2446</v>
      </c>
    </row>
    <row r="2045" spans="1:1">
      <c r="A2045" s="473" t="s">
        <v>1813</v>
      </c>
    </row>
    <row r="2046" spans="1:1">
      <c r="A2046" s="473" t="s">
        <v>2447</v>
      </c>
    </row>
    <row r="2047" spans="1:1">
      <c r="A2047" s="394" t="s">
        <v>1182</v>
      </c>
    </row>
    <row r="2048" spans="1:1">
      <c r="A2048" s="471" t="s">
        <v>1475</v>
      </c>
    </row>
    <row r="2049" spans="1:1">
      <c r="A2049" s="471" t="s">
        <v>1476</v>
      </c>
    </row>
    <row r="2050" spans="1:1">
      <c r="A2050" s="471" t="s">
        <v>1477</v>
      </c>
    </row>
    <row r="2051" spans="1:1">
      <c r="A2051" s="394" t="s">
        <v>1186</v>
      </c>
    </row>
    <row r="2052" spans="1:1">
      <c r="A2052" s="473" t="s">
        <v>1815</v>
      </c>
    </row>
    <row r="2053" spans="1:1">
      <c r="A2053" s="473" t="s">
        <v>2448</v>
      </c>
    </row>
    <row r="2054" spans="1:1">
      <c r="A2054" s="473" t="s">
        <v>2182</v>
      </c>
    </row>
    <row r="2055" spans="1:1">
      <c r="A2055" s="473" t="s">
        <v>2449</v>
      </c>
    </row>
    <row r="2056" spans="1:1">
      <c r="A2056" s="473" t="s">
        <v>1795</v>
      </c>
    </row>
    <row r="2058" spans="1:1">
      <c r="A2058" s="395" t="s">
        <v>1187</v>
      </c>
    </row>
    <row r="2059" spans="1:1">
      <c r="A2059" s="473" t="s">
        <v>2450</v>
      </c>
    </row>
    <row r="2060" spans="1:1">
      <c r="A2060" s="473" t="s">
        <v>1753</v>
      </c>
    </row>
    <row r="2061" spans="1:1">
      <c r="A2061" s="473" t="s">
        <v>2451</v>
      </c>
    </row>
    <row r="2062" spans="1:1">
      <c r="A2062" s="473" t="s">
        <v>1799</v>
      </c>
    </row>
    <row r="2063" spans="1:1">
      <c r="A2063" s="473" t="s">
        <v>2452</v>
      </c>
    </row>
    <row r="2064" spans="1:1">
      <c r="A2064" s="473" t="s">
        <v>2453</v>
      </c>
    </row>
    <row r="2065" spans="1:1">
      <c r="A2065" s="473" t="s">
        <v>2454</v>
      </c>
    </row>
    <row r="2066" spans="1:1">
      <c r="A2066" s="473" t="s">
        <v>2455</v>
      </c>
    </row>
    <row r="2067" spans="1:1">
      <c r="A2067" s="473" t="s">
        <v>2456</v>
      </c>
    </row>
    <row r="2068" spans="1:1">
      <c r="A2068" s="473" t="s">
        <v>1734</v>
      </c>
    </row>
    <row r="2069" spans="1:1">
      <c r="A2069" s="473" t="s">
        <v>2457</v>
      </c>
    </row>
    <row r="2070" spans="1:1">
      <c r="A2070" s="473" t="s">
        <v>1967</v>
      </c>
    </row>
    <row r="2071" spans="1:1">
      <c r="A2071" s="473" t="s">
        <v>1806</v>
      </c>
    </row>
    <row r="2072" spans="1:1">
      <c r="A2072" s="473" t="s">
        <v>1861</v>
      </c>
    </row>
    <row r="2074" spans="1:1">
      <c r="A2074" s="395" t="s">
        <v>1188</v>
      </c>
    </row>
    <row r="2075" spans="1:1">
      <c r="A2075" s="473" t="s">
        <v>1739</v>
      </c>
    </row>
    <row r="2076" spans="1:1">
      <c r="A2076" s="473" t="s">
        <v>1740</v>
      </c>
    </row>
    <row r="2077" spans="1:1">
      <c r="A2077" s="473" t="s">
        <v>2458</v>
      </c>
    </row>
    <row r="2079" spans="1:1">
      <c r="A2079" s="472" t="s">
        <v>1478</v>
      </c>
    </row>
    <row r="2080" spans="1:1">
      <c r="A2080" s="394" t="s">
        <v>1463</v>
      </c>
    </row>
    <row r="2081" spans="1:1">
      <c r="A2081" s="472" t="s">
        <v>1479</v>
      </c>
    </row>
    <row r="2084" spans="1:1">
      <c r="A2084" s="394" t="s">
        <v>1181</v>
      </c>
    </row>
    <row r="2085" spans="1:1">
      <c r="A2085" s="473" t="s">
        <v>2459</v>
      </c>
    </row>
    <row r="2086" spans="1:1">
      <c r="A2086" s="473" t="s">
        <v>1763</v>
      </c>
    </row>
    <row r="2087" spans="1:1">
      <c r="A2087" s="473" t="s">
        <v>2460</v>
      </c>
    </row>
    <row r="2088" spans="1:1">
      <c r="A2088" s="473" t="s">
        <v>2461</v>
      </c>
    </row>
    <row r="2089" spans="1:1">
      <c r="A2089" s="473" t="s">
        <v>2462</v>
      </c>
    </row>
    <row r="2090" spans="1:1">
      <c r="A2090" s="473" t="s">
        <v>2463</v>
      </c>
    </row>
    <row r="2091" spans="1:1">
      <c r="A2091" s="473" t="s">
        <v>1719</v>
      </c>
    </row>
    <row r="2092" spans="1:1">
      <c r="A2092" s="473" t="s">
        <v>2374</v>
      </c>
    </row>
    <row r="2093" spans="1:1">
      <c r="A2093" s="394" t="s">
        <v>1182</v>
      </c>
    </row>
    <row r="2094" spans="1:1">
      <c r="A2094" s="471" t="s">
        <v>1480</v>
      </c>
    </row>
    <row r="2095" spans="1:1">
      <c r="A2095" s="471" t="s">
        <v>1481</v>
      </c>
    </row>
    <row r="2096" spans="1:1">
      <c r="A2096" s="471" t="s">
        <v>1482</v>
      </c>
    </row>
    <row r="2097" spans="1:1">
      <c r="A2097" s="394" t="s">
        <v>1186</v>
      </c>
    </row>
    <row r="2098" spans="1:1">
      <c r="A2098" s="473" t="s">
        <v>1815</v>
      </c>
    </row>
    <row r="2099" spans="1:1">
      <c r="A2099" s="473" t="s">
        <v>2448</v>
      </c>
    </row>
    <row r="2100" spans="1:1">
      <c r="A2100" s="473" t="s">
        <v>2182</v>
      </c>
    </row>
    <row r="2101" spans="1:1">
      <c r="A2101" s="473" t="s">
        <v>2464</v>
      </c>
    </row>
    <row r="2102" spans="1:1">
      <c r="A2102" s="473" t="s">
        <v>1795</v>
      </c>
    </row>
    <row r="2104" spans="1:1">
      <c r="A2104" s="395" t="s">
        <v>1187</v>
      </c>
    </row>
    <row r="2105" spans="1:1">
      <c r="A2105" s="473" t="s">
        <v>2450</v>
      </c>
    </row>
    <row r="2106" spans="1:1">
      <c r="A2106" s="473" t="s">
        <v>1753</v>
      </c>
    </row>
    <row r="2107" spans="1:1">
      <c r="A2107" s="473" t="s">
        <v>2451</v>
      </c>
    </row>
    <row r="2108" spans="1:1">
      <c r="A2108" s="473" t="s">
        <v>1799</v>
      </c>
    </row>
    <row r="2109" spans="1:1">
      <c r="A2109" s="473" t="s">
        <v>2465</v>
      </c>
    </row>
    <row r="2110" spans="1:1">
      <c r="A2110" s="473" t="s">
        <v>2466</v>
      </c>
    </row>
    <row r="2111" spans="1:1">
      <c r="A2111" s="473" t="s">
        <v>2467</v>
      </c>
    </row>
    <row r="2112" spans="1:1">
      <c r="A2112" s="473" t="s">
        <v>2468</v>
      </c>
    </row>
    <row r="2113" spans="1:1">
      <c r="A2113" s="473" t="s">
        <v>2469</v>
      </c>
    </row>
    <row r="2114" spans="1:1">
      <c r="A2114" s="473" t="s">
        <v>1734</v>
      </c>
    </row>
    <row r="2115" spans="1:1">
      <c r="A2115" s="473" t="s">
        <v>2457</v>
      </c>
    </row>
    <row r="2116" spans="1:1">
      <c r="A2116" s="473" t="s">
        <v>1860</v>
      </c>
    </row>
    <row r="2117" spans="1:1">
      <c r="A2117" s="473" t="s">
        <v>1806</v>
      </c>
    </row>
    <row r="2118" spans="1:1">
      <c r="A2118" s="473" t="s">
        <v>1738</v>
      </c>
    </row>
    <row r="2120" spans="1:1">
      <c r="A2120" s="395" t="s">
        <v>1188</v>
      </c>
    </row>
    <row r="2121" spans="1:1">
      <c r="A2121" s="473" t="s">
        <v>1739</v>
      </c>
    </row>
    <row r="2122" spans="1:1">
      <c r="A2122" s="473" t="s">
        <v>1740</v>
      </c>
    </row>
    <row r="2123" spans="1:1">
      <c r="A2123" s="473" t="s">
        <v>2470</v>
      </c>
    </row>
    <row r="2124" spans="1:1">
      <c r="A2124" s="473" t="s">
        <v>2471</v>
      </c>
    </row>
    <row r="2126" spans="1:1">
      <c r="A2126" s="472" t="s">
        <v>1483</v>
      </c>
    </row>
    <row r="2127" spans="1:1">
      <c r="A2127" s="394" t="s">
        <v>1463</v>
      </c>
    </row>
    <row r="2128" spans="1:1">
      <c r="A2128" s="472" t="s">
        <v>1484</v>
      </c>
    </row>
    <row r="2131" spans="1:1">
      <c r="A2131" s="394" t="s">
        <v>1181</v>
      </c>
    </row>
    <row r="2132" spans="1:1">
      <c r="A2132" s="473" t="s">
        <v>2472</v>
      </c>
    </row>
    <row r="2133" spans="1:1">
      <c r="A2133" s="473" t="s">
        <v>1826</v>
      </c>
    </row>
    <row r="2134" spans="1:1">
      <c r="A2134" s="473" t="s">
        <v>2473</v>
      </c>
    </row>
    <row r="2135" spans="1:1">
      <c r="A2135" s="473" t="s">
        <v>1811</v>
      </c>
    </row>
    <row r="2136" spans="1:1">
      <c r="A2136" s="473" t="s">
        <v>2474</v>
      </c>
    </row>
    <row r="2137" spans="1:1">
      <c r="A2137" s="473" t="s">
        <v>2475</v>
      </c>
    </row>
    <row r="2138" spans="1:1">
      <c r="A2138" s="473" t="s">
        <v>2476</v>
      </c>
    </row>
    <row r="2139" spans="1:1">
      <c r="A2139" s="473" t="s">
        <v>1924</v>
      </c>
    </row>
    <row r="2140" spans="1:1">
      <c r="A2140" s="394" t="s">
        <v>1182</v>
      </c>
    </row>
    <row r="2141" spans="1:1">
      <c r="A2141" s="471" t="s">
        <v>1485</v>
      </c>
    </row>
    <row r="2142" spans="1:1">
      <c r="A2142" s="471" t="s">
        <v>1486</v>
      </c>
    </row>
    <row r="2143" spans="1:1">
      <c r="A2143" s="471" t="s">
        <v>1487</v>
      </c>
    </row>
    <row r="2144" spans="1:1">
      <c r="A2144" s="394" t="s">
        <v>1186</v>
      </c>
    </row>
    <row r="2145" spans="1:1">
      <c r="A2145" s="473" t="s">
        <v>2477</v>
      </c>
    </row>
    <row r="2146" spans="1:1">
      <c r="A2146" s="473" t="s">
        <v>2478</v>
      </c>
    </row>
    <row r="2147" spans="1:1">
      <c r="A2147" s="473" t="s">
        <v>2479</v>
      </c>
    </row>
    <row r="2148" spans="1:1">
      <c r="A2148" s="473" t="s">
        <v>2480</v>
      </c>
    </row>
    <row r="2149" spans="1:1">
      <c r="A2149" s="473" t="s">
        <v>2481</v>
      </c>
    </row>
    <row r="2150" spans="1:1">
      <c r="A2150" s="473" t="s">
        <v>2482</v>
      </c>
    </row>
    <row r="2152" spans="1:1">
      <c r="A2152" s="395" t="s">
        <v>1187</v>
      </c>
    </row>
    <row r="2153" spans="1:1">
      <c r="A2153" s="473" t="s">
        <v>2483</v>
      </c>
    </row>
    <row r="2154" spans="1:1">
      <c r="A2154" s="473" t="s">
        <v>2484</v>
      </c>
    </row>
    <row r="2155" spans="1:1">
      <c r="A2155" s="473" t="s">
        <v>2485</v>
      </c>
    </row>
    <row r="2156" spans="1:1">
      <c r="A2156" s="473" t="s">
        <v>1799</v>
      </c>
    </row>
    <row r="2157" spans="1:1">
      <c r="A2157" s="473" t="s">
        <v>2486</v>
      </c>
    </row>
    <row r="2158" spans="1:1">
      <c r="A2158" s="473" t="s">
        <v>2487</v>
      </c>
    </row>
    <row r="2159" spans="1:1">
      <c r="A2159" s="473" t="s">
        <v>2488</v>
      </c>
    </row>
    <row r="2160" spans="1:1">
      <c r="A2160" s="473" t="s">
        <v>2489</v>
      </c>
    </row>
    <row r="2161" spans="1:1">
      <c r="A2161" s="473" t="s">
        <v>2490</v>
      </c>
    </row>
    <row r="2162" spans="1:1">
      <c r="A2162" s="473" t="s">
        <v>1759</v>
      </c>
    </row>
    <row r="2163" spans="1:1">
      <c r="A2163" s="473" t="s">
        <v>2457</v>
      </c>
    </row>
    <row r="2164" spans="1:1">
      <c r="A2164" s="473" t="s">
        <v>1967</v>
      </c>
    </row>
    <row r="2165" spans="1:1">
      <c r="A2165" s="473" t="s">
        <v>1806</v>
      </c>
    </row>
    <row r="2166" spans="1:1">
      <c r="A2166" s="473" t="s">
        <v>1738</v>
      </c>
    </row>
    <row r="2168" spans="1:1">
      <c r="A2168" s="395" t="s">
        <v>1188</v>
      </c>
    </row>
    <row r="2169" spans="1:1">
      <c r="A2169" s="473" t="s">
        <v>1739</v>
      </c>
    </row>
    <row r="2170" spans="1:1">
      <c r="A2170" s="473" t="s">
        <v>1740</v>
      </c>
    </row>
    <row r="2171" spans="1:1">
      <c r="A2171" s="473" t="s">
        <v>2491</v>
      </c>
    </row>
    <row r="2173" spans="1:1">
      <c r="A2173" s="472" t="s">
        <v>1488</v>
      </c>
    </row>
    <row r="2174" spans="1:1">
      <c r="A2174" s="394" t="s">
        <v>1489</v>
      </c>
    </row>
    <row r="2175" spans="1:1">
      <c r="A2175" s="472" t="s">
        <v>1490</v>
      </c>
    </row>
    <row r="2178" spans="1:1">
      <c r="A2178" s="394" t="s">
        <v>1181</v>
      </c>
    </row>
    <row r="2179" spans="1:1">
      <c r="A2179" s="473" t="s">
        <v>2140</v>
      </c>
    </row>
    <row r="2180" spans="1:1">
      <c r="A2180" s="473" t="s">
        <v>2414</v>
      </c>
    </row>
    <row r="2181" spans="1:1">
      <c r="A2181" s="473" t="s">
        <v>2415</v>
      </c>
    </row>
    <row r="2182" spans="1:1">
      <c r="A2182" s="473" t="s">
        <v>2492</v>
      </c>
    </row>
    <row r="2183" spans="1:1">
      <c r="A2183" s="473" t="s">
        <v>2493</v>
      </c>
    </row>
    <row r="2184" spans="1:1">
      <c r="A2184" s="473" t="s">
        <v>2418</v>
      </c>
    </row>
    <row r="2185" spans="1:1">
      <c r="A2185" s="473" t="s">
        <v>1719</v>
      </c>
    </row>
    <row r="2186" spans="1:1">
      <c r="A2186" s="473" t="s">
        <v>1909</v>
      </c>
    </row>
    <row r="2187" spans="1:1">
      <c r="A2187" s="394" t="s">
        <v>1182</v>
      </c>
    </row>
    <row r="2188" spans="1:1">
      <c r="A2188" s="471" t="s">
        <v>1491</v>
      </c>
    </row>
    <row r="2189" spans="1:1">
      <c r="A2189" s="471" t="s">
        <v>1492</v>
      </c>
    </row>
    <row r="2190" spans="1:1">
      <c r="A2190" s="471" t="s">
        <v>1493</v>
      </c>
    </row>
    <row r="2191" spans="1:1">
      <c r="A2191" s="394" t="s">
        <v>1186</v>
      </c>
    </row>
    <row r="2192" spans="1:1">
      <c r="A2192" s="473" t="s">
        <v>1992</v>
      </c>
    </row>
    <row r="2193" spans="1:1">
      <c r="A2193" s="473" t="s">
        <v>1925</v>
      </c>
    </row>
    <row r="2194" spans="1:1">
      <c r="A2194" s="473" t="s">
        <v>2182</v>
      </c>
    </row>
    <row r="2195" spans="1:1">
      <c r="A2195" s="473" t="s">
        <v>2419</v>
      </c>
    </row>
    <row r="2196" spans="1:1">
      <c r="A2196" s="473" t="s">
        <v>1795</v>
      </c>
    </row>
    <row r="2198" spans="1:1">
      <c r="A2198" s="395" t="s">
        <v>1187</v>
      </c>
    </row>
    <row r="2199" spans="1:1">
      <c r="A2199" s="473" t="s">
        <v>2494</v>
      </c>
    </row>
    <row r="2200" spans="1:1">
      <c r="A2200" s="473" t="s">
        <v>2495</v>
      </c>
    </row>
    <row r="2201" spans="1:1">
      <c r="A2201" s="473" t="s">
        <v>2496</v>
      </c>
    </row>
    <row r="2202" spans="1:1">
      <c r="A2202" s="473" t="s">
        <v>2033</v>
      </c>
    </row>
    <row r="2203" spans="1:1">
      <c r="A2203" s="473" t="s">
        <v>2497</v>
      </c>
    </row>
    <row r="2204" spans="1:1">
      <c r="A2204" s="473" t="s">
        <v>2498</v>
      </c>
    </row>
    <row r="2205" spans="1:1">
      <c r="A2205" s="473" t="s">
        <v>2499</v>
      </c>
    </row>
    <row r="2206" spans="1:1">
      <c r="A2206" s="473" t="s">
        <v>2500</v>
      </c>
    </row>
    <row r="2207" spans="1:1">
      <c r="A2207" s="473" t="s">
        <v>1734</v>
      </c>
    </row>
    <row r="2208" spans="1:1">
      <c r="A2208" s="473" t="s">
        <v>1931</v>
      </c>
    </row>
    <row r="2209" spans="1:1">
      <c r="A2209" s="473" t="s">
        <v>2001</v>
      </c>
    </row>
    <row r="2210" spans="1:1">
      <c r="A2210" s="473" t="s">
        <v>1806</v>
      </c>
    </row>
    <row r="2211" spans="1:1">
      <c r="A2211" s="473" t="s">
        <v>1738</v>
      </c>
    </row>
    <row r="2213" spans="1:1">
      <c r="A2213" s="395" t="s">
        <v>1188</v>
      </c>
    </row>
    <row r="2214" spans="1:1">
      <c r="A2214" s="473" t="s">
        <v>1739</v>
      </c>
    </row>
    <row r="2215" spans="1:1">
      <c r="A2215" s="473" t="s">
        <v>1740</v>
      </c>
    </row>
    <row r="2216" spans="1:1">
      <c r="A2216" s="473" t="s">
        <v>2501</v>
      </c>
    </row>
    <row r="2218" spans="1:1">
      <c r="A2218" s="472" t="s">
        <v>410</v>
      </c>
    </row>
    <row r="2219" spans="1:1">
      <c r="A2219" s="394" t="s">
        <v>1489</v>
      </c>
    </row>
    <row r="2220" spans="1:1">
      <c r="A2220" s="472" t="s">
        <v>1494</v>
      </c>
    </row>
    <row r="2221" spans="1:1">
      <c r="A2221" s="472" t="s">
        <v>410</v>
      </c>
    </row>
    <row r="2222" spans="1:1">
      <c r="A2222" s="472" t="s">
        <v>1495</v>
      </c>
    </row>
    <row r="2223" spans="1:1">
      <c r="A2223" s="472" t="s">
        <v>1496</v>
      </c>
    </row>
    <row r="2224" spans="1:1">
      <c r="A2224" s="472" t="s">
        <v>1497</v>
      </c>
    </row>
    <row r="2225" spans="1:1">
      <c r="A2225" s="472" t="s">
        <v>1498</v>
      </c>
    </row>
    <row r="2226" spans="1:1">
      <c r="A2226" s="471" t="s">
        <v>1499</v>
      </c>
    </row>
    <row r="2227" spans="1:1">
      <c r="A2227" s="471" t="s">
        <v>1500</v>
      </c>
    </row>
    <row r="2230" spans="1:1">
      <c r="A2230" s="394" t="s">
        <v>1181</v>
      </c>
    </row>
    <row r="2231" spans="1:1">
      <c r="A2231" s="473" t="s">
        <v>2502</v>
      </c>
    </row>
    <row r="2232" spans="1:1">
      <c r="A2232" s="473" t="s">
        <v>2503</v>
      </c>
    </row>
    <row r="2233" spans="1:1">
      <c r="A2233" s="473" t="s">
        <v>2504</v>
      </c>
    </row>
    <row r="2234" spans="1:1">
      <c r="A2234" s="473" t="s">
        <v>2505</v>
      </c>
    </row>
    <row r="2235" spans="1:1">
      <c r="A2235" s="473" t="s">
        <v>2506</v>
      </c>
    </row>
    <row r="2236" spans="1:1">
      <c r="A2236" s="473" t="s">
        <v>2418</v>
      </c>
    </row>
    <row r="2237" spans="1:1">
      <c r="A2237" s="473" t="s">
        <v>2099</v>
      </c>
    </row>
    <row r="2238" spans="1:1">
      <c r="A2238" s="473" t="s">
        <v>1814</v>
      </c>
    </row>
    <row r="2239" spans="1:1">
      <c r="A2239" s="394" t="s">
        <v>1182</v>
      </c>
    </row>
    <row r="2240" spans="1:1">
      <c r="A2240" s="471" t="s">
        <v>1501</v>
      </c>
    </row>
    <row r="2241" spans="1:1">
      <c r="A2241" s="471" t="s">
        <v>1502</v>
      </c>
    </row>
    <row r="2242" spans="1:1">
      <c r="A2242" s="471" t="s">
        <v>1503</v>
      </c>
    </row>
    <row r="2243" spans="1:1">
      <c r="A2243" s="394" t="s">
        <v>1186</v>
      </c>
    </row>
    <row r="2244" spans="1:1">
      <c r="A2244" s="473" t="s">
        <v>1721</v>
      </c>
    </row>
    <row r="2245" spans="1:1">
      <c r="A2245" s="473" t="s">
        <v>1925</v>
      </c>
    </row>
    <row r="2246" spans="1:1">
      <c r="A2246" s="473" t="s">
        <v>2433</v>
      </c>
    </row>
    <row r="2247" spans="1:1">
      <c r="A2247" s="473" t="s">
        <v>2507</v>
      </c>
    </row>
    <row r="2248" spans="1:1">
      <c r="A2248" s="473" t="s">
        <v>2419</v>
      </c>
    </row>
    <row r="2249" spans="1:1">
      <c r="A2249" s="473" t="s">
        <v>1725</v>
      </c>
    </row>
    <row r="2251" spans="1:1">
      <c r="A2251" s="395" t="s">
        <v>1187</v>
      </c>
    </row>
    <row r="2252" spans="1:1">
      <c r="A2252" s="473" t="s">
        <v>2508</v>
      </c>
    </row>
    <row r="2253" spans="1:1">
      <c r="A2253" s="473" t="s">
        <v>2509</v>
      </c>
    </row>
    <row r="2254" spans="1:1">
      <c r="A2254" s="473" t="s">
        <v>2510</v>
      </c>
    </row>
    <row r="2255" spans="1:1">
      <c r="A2255" s="473" t="s">
        <v>1799</v>
      </c>
    </row>
    <row r="2256" spans="1:1">
      <c r="A2256" s="473" t="s">
        <v>2511</v>
      </c>
    </row>
    <row r="2257" spans="1:1">
      <c r="A2257" s="473" t="s">
        <v>2512</v>
      </c>
    </row>
    <row r="2258" spans="1:1">
      <c r="A2258" s="473" t="s">
        <v>2513</v>
      </c>
    </row>
    <row r="2259" spans="1:1">
      <c r="A2259" s="473" t="s">
        <v>2514</v>
      </c>
    </row>
    <row r="2260" spans="1:1">
      <c r="A2260" s="473" t="s">
        <v>2515</v>
      </c>
    </row>
    <row r="2261" spans="1:1">
      <c r="A2261" s="473" t="s">
        <v>1734</v>
      </c>
    </row>
    <row r="2262" spans="1:1">
      <c r="A2262" s="473" t="s">
        <v>1931</v>
      </c>
    </row>
    <row r="2263" spans="1:1">
      <c r="A2263" s="473" t="s">
        <v>1967</v>
      </c>
    </row>
    <row r="2264" spans="1:1">
      <c r="A2264" s="473" t="s">
        <v>1806</v>
      </c>
    </row>
    <row r="2265" spans="1:1">
      <c r="A2265" s="473" t="s">
        <v>1738</v>
      </c>
    </row>
    <row r="2267" spans="1:1">
      <c r="A2267" s="395" t="s">
        <v>1188</v>
      </c>
    </row>
    <row r="2268" spans="1:1">
      <c r="A2268" s="473" t="s">
        <v>1739</v>
      </c>
    </row>
    <row r="2269" spans="1:1">
      <c r="A2269" s="473" t="s">
        <v>1740</v>
      </c>
    </row>
    <row r="2270" spans="1:1">
      <c r="A2270" s="473" t="s">
        <v>2516</v>
      </c>
    </row>
    <row r="2272" spans="1:1">
      <c r="A2272" s="472" t="s">
        <v>1504</v>
      </c>
    </row>
    <row r="2273" spans="1:1">
      <c r="A2273" s="394" t="s">
        <v>1489</v>
      </c>
    </row>
    <row r="2274" spans="1:1">
      <c r="A2274" s="472" t="s">
        <v>1505</v>
      </c>
    </row>
    <row r="2277" spans="1:1">
      <c r="A2277" s="394" t="s">
        <v>1181</v>
      </c>
    </row>
    <row r="2278" spans="1:1">
      <c r="A2278" s="473" t="s">
        <v>2517</v>
      </c>
    </row>
    <row r="2279" spans="1:1">
      <c r="A2279" s="473" t="s">
        <v>2518</v>
      </c>
    </row>
    <row r="2280" spans="1:1">
      <c r="A2280" s="473" t="s">
        <v>2519</v>
      </c>
    </row>
    <row r="2281" spans="1:1">
      <c r="A2281" s="473" t="s">
        <v>1811</v>
      </c>
    </row>
    <row r="2282" spans="1:1">
      <c r="A2282" s="473" t="s">
        <v>2520</v>
      </c>
    </row>
    <row r="2283" spans="1:1">
      <c r="A2283" s="473" t="s">
        <v>2475</v>
      </c>
    </row>
    <row r="2284" spans="1:1">
      <c r="A2284" s="473" t="s">
        <v>1719</v>
      </c>
    </row>
    <row r="2285" spans="1:1">
      <c r="A2285" s="473" t="s">
        <v>2521</v>
      </c>
    </row>
    <row r="2286" spans="1:1">
      <c r="A2286" s="394" t="s">
        <v>1182</v>
      </c>
    </row>
    <row r="2287" spans="1:1">
      <c r="A2287" s="471" t="s">
        <v>1506</v>
      </c>
    </row>
    <row r="2288" spans="1:1">
      <c r="A2288" s="471" t="s">
        <v>1507</v>
      </c>
    </row>
    <row r="2289" spans="1:1">
      <c r="A2289" s="471" t="s">
        <v>1508</v>
      </c>
    </row>
    <row r="2290" spans="1:1">
      <c r="A2290" s="394" t="s">
        <v>1186</v>
      </c>
    </row>
    <row r="2291" spans="1:1">
      <c r="A2291" s="473" t="s">
        <v>1815</v>
      </c>
    </row>
    <row r="2292" spans="1:1">
      <c r="A2292" s="473" t="s">
        <v>1925</v>
      </c>
    </row>
    <row r="2293" spans="1:1">
      <c r="A2293" s="473" t="s">
        <v>2182</v>
      </c>
    </row>
    <row r="2294" spans="1:1">
      <c r="A2294" s="473" t="s">
        <v>2481</v>
      </c>
    </row>
    <row r="2295" spans="1:1">
      <c r="A2295" s="473" t="s">
        <v>1795</v>
      </c>
    </row>
    <row r="2297" spans="1:1">
      <c r="A2297" s="395" t="s">
        <v>1187</v>
      </c>
    </row>
    <row r="2298" spans="1:1">
      <c r="A2298" s="473" t="s">
        <v>1976</v>
      </c>
    </row>
    <row r="2299" spans="1:1">
      <c r="A2299" s="473" t="s">
        <v>2522</v>
      </c>
    </row>
    <row r="2300" spans="1:1">
      <c r="A2300" s="473" t="s">
        <v>2523</v>
      </c>
    </row>
    <row r="2301" spans="1:1">
      <c r="A2301" s="473" t="s">
        <v>1799</v>
      </c>
    </row>
    <row r="2302" spans="1:1">
      <c r="A2302" s="473" t="s">
        <v>2524</v>
      </c>
    </row>
    <row r="2303" spans="1:1">
      <c r="A2303" s="473" t="s">
        <v>1801</v>
      </c>
    </row>
    <row r="2304" spans="1:1">
      <c r="A2304" s="473" t="s">
        <v>2525</v>
      </c>
    </row>
    <row r="2305" spans="1:1">
      <c r="A2305" s="473" t="s">
        <v>2526</v>
      </c>
    </row>
    <row r="2306" spans="1:1">
      <c r="A2306" s="473" t="s">
        <v>2527</v>
      </c>
    </row>
    <row r="2307" spans="1:1">
      <c r="A2307" s="473" t="s">
        <v>1734</v>
      </c>
    </row>
    <row r="2308" spans="1:1">
      <c r="A2308" s="473" t="s">
        <v>1931</v>
      </c>
    </row>
    <row r="2309" spans="1:1">
      <c r="A2309" s="473" t="s">
        <v>1860</v>
      </c>
    </row>
    <row r="2310" spans="1:1">
      <c r="A2310" s="473" t="s">
        <v>1806</v>
      </c>
    </row>
    <row r="2311" spans="1:1">
      <c r="A2311" s="473" t="s">
        <v>1738</v>
      </c>
    </row>
    <row r="2313" spans="1:1">
      <c r="A2313" s="395" t="s">
        <v>1188</v>
      </c>
    </row>
    <row r="2314" spans="1:1">
      <c r="A2314" s="473" t="s">
        <v>1739</v>
      </c>
    </row>
    <row r="2315" spans="1:1">
      <c r="A2315" s="473" t="s">
        <v>1740</v>
      </c>
    </row>
    <row r="2316" spans="1:1">
      <c r="A2316" s="473" t="s">
        <v>2528</v>
      </c>
    </row>
    <row r="2317" spans="1:1">
      <c r="A2317" s="473" t="s">
        <v>2529</v>
      </c>
    </row>
    <row r="2319" spans="1:1">
      <c r="A2319" s="472" t="s">
        <v>1509</v>
      </c>
    </row>
    <row r="2320" spans="1:1">
      <c r="A2320" s="394" t="s">
        <v>1489</v>
      </c>
    </row>
    <row r="2321" spans="1:1">
      <c r="A2321" s="472" t="s">
        <v>1510</v>
      </c>
    </row>
    <row r="2324" spans="1:1">
      <c r="A2324" s="394" t="s">
        <v>1181</v>
      </c>
    </row>
    <row r="2325" spans="1:1">
      <c r="A2325" s="473" t="s">
        <v>2354</v>
      </c>
    </row>
    <row r="2326" spans="1:1">
      <c r="A2326" s="473" t="s">
        <v>1863</v>
      </c>
    </row>
    <row r="2327" spans="1:1">
      <c r="A2327" s="473" t="s">
        <v>2530</v>
      </c>
    </row>
    <row r="2328" spans="1:1">
      <c r="A2328" s="473" t="s">
        <v>1765</v>
      </c>
    </row>
    <row r="2329" spans="1:1">
      <c r="A2329" s="473" t="s">
        <v>1766</v>
      </c>
    </row>
    <row r="2330" spans="1:1">
      <c r="A2330" s="473" t="s">
        <v>2418</v>
      </c>
    </row>
    <row r="2331" spans="1:1">
      <c r="A2331" s="473" t="s">
        <v>1813</v>
      </c>
    </row>
    <row r="2332" spans="1:1">
      <c r="A2332" s="473" t="s">
        <v>2531</v>
      </c>
    </row>
    <row r="2333" spans="1:1">
      <c r="A2333" s="394" t="s">
        <v>1182</v>
      </c>
    </row>
    <row r="2334" spans="1:1">
      <c r="A2334" s="471" t="s">
        <v>1511</v>
      </c>
    </row>
    <row r="2335" spans="1:1">
      <c r="A2335" s="471" t="s">
        <v>1512</v>
      </c>
    </row>
    <row r="2336" spans="1:1">
      <c r="A2336" s="471" t="s">
        <v>1513</v>
      </c>
    </row>
    <row r="2337" spans="1:1">
      <c r="A2337" s="394" t="s">
        <v>1186</v>
      </c>
    </row>
    <row r="2338" spans="1:1">
      <c r="A2338" s="473" t="s">
        <v>1815</v>
      </c>
    </row>
    <row r="2339" spans="1:1">
      <c r="A2339" s="473" t="s">
        <v>1925</v>
      </c>
    </row>
    <row r="2340" spans="1:1">
      <c r="A2340" s="473" t="s">
        <v>2182</v>
      </c>
    </row>
    <row r="2341" spans="1:1">
      <c r="A2341" s="473" t="s">
        <v>2419</v>
      </c>
    </row>
    <row r="2342" spans="1:1">
      <c r="A2342" s="473" t="s">
        <v>1795</v>
      </c>
    </row>
    <row r="2344" spans="1:1">
      <c r="A2344" s="395" t="s">
        <v>1187</v>
      </c>
    </row>
    <row r="2345" spans="1:1">
      <c r="A2345" s="473" t="s">
        <v>2532</v>
      </c>
    </row>
    <row r="2346" spans="1:1">
      <c r="A2346" s="473" t="s">
        <v>2533</v>
      </c>
    </row>
    <row r="2347" spans="1:1">
      <c r="A2347" s="473" t="s">
        <v>2534</v>
      </c>
    </row>
    <row r="2348" spans="1:1">
      <c r="A2348" s="473" t="s">
        <v>1799</v>
      </c>
    </row>
    <row r="2349" spans="1:1">
      <c r="A2349" s="473" t="s">
        <v>2535</v>
      </c>
    </row>
    <row r="2350" spans="1:1">
      <c r="A2350" s="473" t="s">
        <v>1801</v>
      </c>
    </row>
    <row r="2351" spans="1:1">
      <c r="A2351" s="473" t="s">
        <v>2536</v>
      </c>
    </row>
    <row r="2352" spans="1:1">
      <c r="A2352" s="473" t="s">
        <v>2537</v>
      </c>
    </row>
    <row r="2353" spans="1:1">
      <c r="A2353" s="473" t="s">
        <v>2538</v>
      </c>
    </row>
    <row r="2354" spans="1:1">
      <c r="A2354" s="473" t="s">
        <v>1734</v>
      </c>
    </row>
    <row r="2355" spans="1:1">
      <c r="A2355" s="473" t="s">
        <v>1931</v>
      </c>
    </row>
    <row r="2356" spans="1:1">
      <c r="A2356" s="473" t="s">
        <v>1860</v>
      </c>
    </row>
    <row r="2357" spans="1:1">
      <c r="A2357" s="473" t="s">
        <v>1806</v>
      </c>
    </row>
    <row r="2358" spans="1:1">
      <c r="A2358" s="473" t="s">
        <v>2539</v>
      </c>
    </row>
    <row r="2360" spans="1:1">
      <c r="A2360" s="395" t="s">
        <v>1188</v>
      </c>
    </row>
    <row r="2361" spans="1:1">
      <c r="A2361" s="473" t="s">
        <v>1739</v>
      </c>
    </row>
    <row r="2362" spans="1:1">
      <c r="A2362" s="473" t="s">
        <v>1740</v>
      </c>
    </row>
    <row r="2363" spans="1:1">
      <c r="A2363" s="473" t="s">
        <v>2540</v>
      </c>
    </row>
    <row r="2365" spans="1:1">
      <c r="A2365" s="472" t="s">
        <v>1514</v>
      </c>
    </row>
    <row r="2366" spans="1:1">
      <c r="A2366" s="394" t="s">
        <v>1489</v>
      </c>
    </row>
    <row r="2367" spans="1:1">
      <c r="A2367" s="472" t="s">
        <v>1515</v>
      </c>
    </row>
    <row r="2370" spans="1:1">
      <c r="A2370" s="394" t="s">
        <v>1181</v>
      </c>
    </row>
    <row r="2371" spans="1:1">
      <c r="A2371" s="473" t="s">
        <v>2541</v>
      </c>
    </row>
    <row r="2372" spans="1:1">
      <c r="A2372" s="473" t="s">
        <v>2542</v>
      </c>
    </row>
    <row r="2373" spans="1:1">
      <c r="A2373" s="473" t="s">
        <v>2543</v>
      </c>
    </row>
    <row r="2374" spans="1:1">
      <c r="A2374" s="473" t="s">
        <v>2544</v>
      </c>
    </row>
    <row r="2375" spans="1:1">
      <c r="A2375" s="473" t="s">
        <v>2545</v>
      </c>
    </row>
    <row r="2376" spans="1:1">
      <c r="A2376" s="473" t="s">
        <v>2418</v>
      </c>
    </row>
    <row r="2377" spans="1:1">
      <c r="A2377" s="473" t="s">
        <v>1790</v>
      </c>
    </row>
    <row r="2378" spans="1:1">
      <c r="A2378" s="473" t="s">
        <v>2546</v>
      </c>
    </row>
    <row r="2379" spans="1:1">
      <c r="A2379" s="394" t="s">
        <v>1182</v>
      </c>
    </row>
    <row r="2380" spans="1:1">
      <c r="A2380" s="471" t="s">
        <v>1516</v>
      </c>
    </row>
    <row r="2381" spans="1:1">
      <c r="A2381" s="471" t="s">
        <v>1517</v>
      </c>
    </row>
    <row r="2382" spans="1:1">
      <c r="A2382" s="471" t="s">
        <v>1518</v>
      </c>
    </row>
    <row r="2383" spans="1:1">
      <c r="A2383" s="394" t="s">
        <v>1186</v>
      </c>
    </row>
    <row r="2384" spans="1:1">
      <c r="A2384" s="473" t="s">
        <v>1941</v>
      </c>
    </row>
    <row r="2385" spans="1:1">
      <c r="A2385" s="473" t="s">
        <v>1925</v>
      </c>
    </row>
    <row r="2386" spans="1:1">
      <c r="A2386" s="473" t="s">
        <v>2433</v>
      </c>
    </row>
    <row r="2387" spans="1:1">
      <c r="A2387" s="473" t="s">
        <v>2419</v>
      </c>
    </row>
    <row r="2388" spans="1:1">
      <c r="A2388" s="473" t="s">
        <v>2404</v>
      </c>
    </row>
    <row r="2390" spans="1:1">
      <c r="A2390" s="395" t="s">
        <v>1187</v>
      </c>
    </row>
    <row r="2391" spans="1:1">
      <c r="A2391" s="473" t="s">
        <v>2547</v>
      </c>
    </row>
    <row r="2392" spans="1:1">
      <c r="A2392" s="473" t="s">
        <v>2548</v>
      </c>
    </row>
    <row r="2393" spans="1:1">
      <c r="A2393" s="473" t="s">
        <v>2549</v>
      </c>
    </row>
    <row r="2394" spans="1:1">
      <c r="A2394" s="473" t="s">
        <v>1799</v>
      </c>
    </row>
    <row r="2395" spans="1:1">
      <c r="A2395" s="473" t="s">
        <v>2550</v>
      </c>
    </row>
    <row r="2396" spans="1:1">
      <c r="A2396" s="473" t="s">
        <v>1801</v>
      </c>
    </row>
    <row r="2397" spans="1:1">
      <c r="A2397" s="473" t="s">
        <v>2551</v>
      </c>
    </row>
    <row r="2398" spans="1:1">
      <c r="A2398" s="473" t="s">
        <v>2552</v>
      </c>
    </row>
    <row r="2399" spans="1:1">
      <c r="A2399" s="473" t="s">
        <v>1950</v>
      </c>
    </row>
    <row r="2400" spans="1:1">
      <c r="A2400" s="473" t="s">
        <v>1931</v>
      </c>
    </row>
    <row r="2401" spans="1:1">
      <c r="A2401" s="473" t="s">
        <v>1736</v>
      </c>
    </row>
    <row r="2402" spans="1:1">
      <c r="A2402" s="473" t="s">
        <v>1806</v>
      </c>
    </row>
    <row r="2403" spans="1:1">
      <c r="A2403" s="473" t="s">
        <v>1861</v>
      </c>
    </row>
    <row r="2405" spans="1:1">
      <c r="A2405" s="395" t="s">
        <v>1188</v>
      </c>
    </row>
    <row r="2406" spans="1:1">
      <c r="A2406" s="473" t="s">
        <v>1739</v>
      </c>
    </row>
    <row r="2407" spans="1:1">
      <c r="A2407" s="473" t="s">
        <v>1782</v>
      </c>
    </row>
    <row r="2408" spans="1:1">
      <c r="A2408" s="473" t="s">
        <v>2553</v>
      </c>
    </row>
    <row r="2409" spans="1:1">
      <c r="A2409" s="473" t="s">
        <v>1933</v>
      </c>
    </row>
    <row r="2411" spans="1:1">
      <c r="A2411" s="472" t="s">
        <v>1519</v>
      </c>
    </row>
    <row r="2412" spans="1:1">
      <c r="A2412" s="394" t="s">
        <v>1520</v>
      </c>
    </row>
    <row r="2413" spans="1:1">
      <c r="A2413" s="472" t="s">
        <v>1521</v>
      </c>
    </row>
    <row r="2416" spans="1:1">
      <c r="A2416" s="394" t="s">
        <v>1181</v>
      </c>
    </row>
    <row r="2417" spans="1:1">
      <c r="A2417" s="473" t="s">
        <v>2554</v>
      </c>
    </row>
    <row r="2418" spans="1:1">
      <c r="A2418" s="473" t="s">
        <v>2555</v>
      </c>
    </row>
    <row r="2419" spans="1:1">
      <c r="A2419" s="473" t="s">
        <v>1954</v>
      </c>
    </row>
    <row r="2420" spans="1:1">
      <c r="A2420" s="473" t="s">
        <v>2254</v>
      </c>
    </row>
    <row r="2421" spans="1:1">
      <c r="A2421" s="473" t="s">
        <v>2556</v>
      </c>
    </row>
    <row r="2422" spans="1:1">
      <c r="A2422" s="473" t="s">
        <v>2557</v>
      </c>
    </row>
    <row r="2423" spans="1:1">
      <c r="A2423" s="473" t="s">
        <v>1830</v>
      </c>
    </row>
    <row r="2424" spans="1:1">
      <c r="A2424" s="473" t="s">
        <v>2558</v>
      </c>
    </row>
    <row r="2425" spans="1:1">
      <c r="A2425" s="394" t="s">
        <v>1182</v>
      </c>
    </row>
    <row r="2426" spans="1:1">
      <c r="A2426" s="471" t="s">
        <v>1522</v>
      </c>
    </row>
    <row r="2427" spans="1:1">
      <c r="A2427" s="471" t="s">
        <v>1523</v>
      </c>
    </row>
    <row r="2428" spans="1:1">
      <c r="A2428" s="471" t="s">
        <v>1524</v>
      </c>
    </row>
    <row r="2429" spans="1:1">
      <c r="A2429" s="394" t="s">
        <v>1186</v>
      </c>
    </row>
    <row r="2430" spans="1:1">
      <c r="A2430" s="473" t="s">
        <v>1721</v>
      </c>
    </row>
    <row r="2431" spans="1:1">
      <c r="A2431" s="473" t="s">
        <v>1925</v>
      </c>
    </row>
    <row r="2432" spans="1:1">
      <c r="A2432" s="473" t="s">
        <v>1885</v>
      </c>
    </row>
    <row r="2433" spans="1:1">
      <c r="A2433" s="473" t="s">
        <v>1849</v>
      </c>
    </row>
    <row r="2434" spans="1:1">
      <c r="A2434" s="473" t="s">
        <v>2559</v>
      </c>
    </row>
    <row r="2435" spans="1:1">
      <c r="A2435" s="473" t="s">
        <v>1851</v>
      </c>
    </row>
    <row r="2437" spans="1:1">
      <c r="A2437" s="395" t="s">
        <v>1187</v>
      </c>
    </row>
    <row r="2438" spans="1:1">
      <c r="A2438" s="473" t="s">
        <v>2560</v>
      </c>
    </row>
    <row r="2439" spans="1:1">
      <c r="A2439" s="473" t="s">
        <v>2561</v>
      </c>
    </row>
    <row r="2440" spans="1:1">
      <c r="A2440" s="473" t="s">
        <v>2562</v>
      </c>
    </row>
    <row r="2441" spans="1:1">
      <c r="A2441" s="473" t="s">
        <v>1729</v>
      </c>
    </row>
    <row r="2442" spans="1:1">
      <c r="A2442" s="473" t="s">
        <v>2563</v>
      </c>
    </row>
    <row r="2443" spans="1:1">
      <c r="A2443" s="473" t="s">
        <v>1837</v>
      </c>
    </row>
    <row r="2444" spans="1:1">
      <c r="A2444" s="473" t="s">
        <v>2564</v>
      </c>
    </row>
    <row r="2445" spans="1:1">
      <c r="A2445" s="473" t="s">
        <v>2565</v>
      </c>
    </row>
    <row r="2446" spans="1:1">
      <c r="A2446" s="473" t="s">
        <v>1759</v>
      </c>
    </row>
    <row r="2447" spans="1:1">
      <c r="A2447" s="473" t="s">
        <v>1931</v>
      </c>
    </row>
    <row r="2448" spans="1:1">
      <c r="A2448" s="473" t="s">
        <v>1736</v>
      </c>
    </row>
    <row r="2449" spans="1:1">
      <c r="A2449" s="473" t="s">
        <v>1780</v>
      </c>
    </row>
    <row r="2450" spans="1:1">
      <c r="A2450" s="473" t="s">
        <v>1861</v>
      </c>
    </row>
    <row r="2452" spans="1:1">
      <c r="A2452" s="395" t="s">
        <v>1188</v>
      </c>
    </row>
    <row r="2453" spans="1:1">
      <c r="A2453" s="473" t="s">
        <v>1840</v>
      </c>
    </row>
    <row r="2454" spans="1:1">
      <c r="A2454" s="473" t="s">
        <v>1782</v>
      </c>
    </row>
    <row r="2455" spans="1:1">
      <c r="A2455" s="473" t="s">
        <v>2566</v>
      </c>
    </row>
    <row r="2457" spans="1:1">
      <c r="A2457" s="472" t="s">
        <v>1525</v>
      </c>
    </row>
    <row r="2458" spans="1:1">
      <c r="A2458" s="394" t="s">
        <v>1520</v>
      </c>
    </row>
    <row r="2459" spans="1:1">
      <c r="A2459" s="472" t="s">
        <v>1526</v>
      </c>
    </row>
    <row r="2462" spans="1:1">
      <c r="A2462" s="394" t="s">
        <v>1181</v>
      </c>
    </row>
    <row r="2463" spans="1:1">
      <c r="A2463" s="473" t="s">
        <v>2567</v>
      </c>
    </row>
    <row r="2464" spans="1:1">
      <c r="A2464" s="473" t="s">
        <v>2267</v>
      </c>
    </row>
    <row r="2465" spans="1:1">
      <c r="A2465" s="473" t="s">
        <v>2568</v>
      </c>
    </row>
    <row r="2466" spans="1:1">
      <c r="A2466" s="473" t="s">
        <v>2569</v>
      </c>
    </row>
    <row r="2467" spans="1:1">
      <c r="A2467" s="473" t="s">
        <v>2060</v>
      </c>
    </row>
    <row r="2468" spans="1:1">
      <c r="A2468" s="473" t="s">
        <v>2179</v>
      </c>
    </row>
    <row r="2469" spans="1:1">
      <c r="A2469" s="473" t="s">
        <v>1830</v>
      </c>
    </row>
    <row r="2470" spans="1:1">
      <c r="A2470" s="473" t="s">
        <v>2570</v>
      </c>
    </row>
    <row r="2471" spans="1:1">
      <c r="A2471" s="394" t="s">
        <v>1182</v>
      </c>
    </row>
    <row r="2472" spans="1:1">
      <c r="A2472" s="471" t="s">
        <v>1527</v>
      </c>
    </row>
    <row r="2473" spans="1:1">
      <c r="A2473" s="471" t="s">
        <v>1528</v>
      </c>
    </row>
    <row r="2474" spans="1:1">
      <c r="A2474" s="471" t="s">
        <v>1529</v>
      </c>
    </row>
    <row r="2475" spans="1:1">
      <c r="A2475" s="394" t="s">
        <v>1186</v>
      </c>
    </row>
    <row r="2476" spans="1:1">
      <c r="A2476" s="473" t="s">
        <v>1721</v>
      </c>
    </row>
    <row r="2477" spans="1:1">
      <c r="A2477" s="473" t="s">
        <v>1925</v>
      </c>
    </row>
    <row r="2478" spans="1:1">
      <c r="A2478" s="473" t="s">
        <v>1885</v>
      </c>
    </row>
    <row r="2479" spans="1:1">
      <c r="A2479" s="473" t="s">
        <v>1849</v>
      </c>
    </row>
    <row r="2480" spans="1:1">
      <c r="A2480" s="473" t="s">
        <v>2376</v>
      </c>
    </row>
    <row r="2481" spans="1:1">
      <c r="A2481" s="473" t="s">
        <v>1851</v>
      </c>
    </row>
    <row r="2483" spans="1:1">
      <c r="A2483" s="395" t="s">
        <v>1187</v>
      </c>
    </row>
    <row r="2484" spans="1:1">
      <c r="A2484" s="473" t="s">
        <v>2571</v>
      </c>
    </row>
    <row r="2485" spans="1:1">
      <c r="A2485" s="473" t="s">
        <v>2572</v>
      </c>
    </row>
    <row r="2486" spans="1:1">
      <c r="A2486" s="473" t="s">
        <v>2573</v>
      </c>
    </row>
    <row r="2487" spans="1:1">
      <c r="A2487" s="473" t="s">
        <v>1729</v>
      </c>
    </row>
    <row r="2488" spans="1:1">
      <c r="A2488" s="473" t="s">
        <v>2574</v>
      </c>
    </row>
    <row r="2489" spans="1:1">
      <c r="A2489" s="473" t="s">
        <v>1837</v>
      </c>
    </row>
    <row r="2490" spans="1:1">
      <c r="A2490" s="473" t="s">
        <v>2575</v>
      </c>
    </row>
    <row r="2491" spans="1:1">
      <c r="A2491" s="473" t="s">
        <v>2576</v>
      </c>
    </row>
    <row r="2492" spans="1:1">
      <c r="A2492" s="473" t="s">
        <v>1759</v>
      </c>
    </row>
    <row r="2493" spans="1:1">
      <c r="A2493" s="473" t="s">
        <v>1931</v>
      </c>
    </row>
    <row r="2494" spans="1:1">
      <c r="A2494" s="473" t="s">
        <v>1860</v>
      </c>
    </row>
    <row r="2495" spans="1:1">
      <c r="A2495" s="473" t="s">
        <v>1780</v>
      </c>
    </row>
    <row r="2496" spans="1:1">
      <c r="A2496" s="473" t="s">
        <v>1738</v>
      </c>
    </row>
    <row r="2498" spans="1:1">
      <c r="A2498" s="395" t="s">
        <v>1188</v>
      </c>
    </row>
    <row r="2499" spans="1:1">
      <c r="A2499" s="473" t="s">
        <v>1840</v>
      </c>
    </row>
    <row r="2500" spans="1:1">
      <c r="A2500" s="473" t="s">
        <v>1740</v>
      </c>
    </row>
    <row r="2501" spans="1:1">
      <c r="A2501" s="473" t="s">
        <v>2577</v>
      </c>
    </row>
    <row r="2503" spans="1:1">
      <c r="A2503" s="472" t="s">
        <v>1530</v>
      </c>
    </row>
    <row r="2504" spans="1:1">
      <c r="A2504" s="394" t="s">
        <v>1520</v>
      </c>
    </row>
    <row r="2505" spans="1:1">
      <c r="A2505" s="472" t="s">
        <v>1531</v>
      </c>
    </row>
    <row r="2508" spans="1:1">
      <c r="A2508" s="394" t="s">
        <v>1181</v>
      </c>
    </row>
    <row r="2509" spans="1:1">
      <c r="A2509" s="473" t="s">
        <v>2554</v>
      </c>
    </row>
    <row r="2510" spans="1:1">
      <c r="A2510" s="473" t="s">
        <v>1863</v>
      </c>
    </row>
    <row r="2511" spans="1:1">
      <c r="A2511" s="473" t="s">
        <v>2578</v>
      </c>
    </row>
    <row r="2512" spans="1:1">
      <c r="A2512" s="473" t="s">
        <v>2283</v>
      </c>
    </row>
    <row r="2513" spans="1:1">
      <c r="A2513" s="473" t="s">
        <v>2579</v>
      </c>
    </row>
    <row r="2514" spans="1:1">
      <c r="A2514" s="473" t="s">
        <v>2307</v>
      </c>
    </row>
    <row r="2515" spans="1:1">
      <c r="A2515" s="473" t="s">
        <v>1830</v>
      </c>
    </row>
    <row r="2516" spans="1:1">
      <c r="A2516" s="473" t="s">
        <v>2374</v>
      </c>
    </row>
    <row r="2517" spans="1:1">
      <c r="A2517" s="394" t="s">
        <v>1182</v>
      </c>
    </row>
    <row r="2518" spans="1:1">
      <c r="A2518" s="471" t="s">
        <v>1532</v>
      </c>
    </row>
    <row r="2519" spans="1:1">
      <c r="A2519" s="471" t="s">
        <v>1533</v>
      </c>
    </row>
    <row r="2520" spans="1:1">
      <c r="A2520" s="471" t="s">
        <v>1534</v>
      </c>
    </row>
    <row r="2521" spans="1:1">
      <c r="A2521" s="394" t="s">
        <v>1186</v>
      </c>
    </row>
    <row r="2522" spans="1:1">
      <c r="A2522" s="473" t="s">
        <v>1721</v>
      </c>
    </row>
    <row r="2523" spans="1:1">
      <c r="A2523" s="473" t="s">
        <v>1722</v>
      </c>
    </row>
    <row r="2524" spans="1:1">
      <c r="A2524" s="473" t="s">
        <v>1885</v>
      </c>
    </row>
    <row r="2525" spans="1:1">
      <c r="A2525" s="473" t="s">
        <v>1849</v>
      </c>
    </row>
    <row r="2526" spans="1:1">
      <c r="A2526" s="473" t="s">
        <v>2204</v>
      </c>
    </row>
    <row r="2527" spans="1:1">
      <c r="A2527" s="473" t="s">
        <v>1851</v>
      </c>
    </row>
    <row r="2529" spans="1:1">
      <c r="A2529" s="395" t="s">
        <v>1187</v>
      </c>
    </row>
    <row r="2530" spans="1:1">
      <c r="A2530" s="473" t="s">
        <v>2580</v>
      </c>
    </row>
    <row r="2531" spans="1:1">
      <c r="A2531" s="473" t="s">
        <v>2581</v>
      </c>
    </row>
    <row r="2532" spans="1:1">
      <c r="A2532" s="473" t="s">
        <v>2582</v>
      </c>
    </row>
    <row r="2533" spans="1:1">
      <c r="A2533" s="473" t="s">
        <v>2090</v>
      </c>
    </row>
    <row r="2534" spans="1:1">
      <c r="A2534" s="473" t="s">
        <v>2583</v>
      </c>
    </row>
    <row r="2535" spans="1:1">
      <c r="A2535" s="473" t="s">
        <v>1837</v>
      </c>
    </row>
    <row r="2536" spans="1:1">
      <c r="A2536" s="473" t="s">
        <v>2584</v>
      </c>
    </row>
    <row r="2537" spans="1:1">
      <c r="A2537" s="473" t="s">
        <v>2585</v>
      </c>
    </row>
    <row r="2538" spans="1:1">
      <c r="A2538" s="473" t="s">
        <v>1759</v>
      </c>
    </row>
    <row r="2539" spans="1:1">
      <c r="A2539" s="473" t="s">
        <v>1735</v>
      </c>
    </row>
    <row r="2540" spans="1:1">
      <c r="A2540" s="473" t="s">
        <v>1736</v>
      </c>
    </row>
    <row r="2541" spans="1:1">
      <c r="A2541" s="473" t="s">
        <v>1737</v>
      </c>
    </row>
    <row r="2542" spans="1:1">
      <c r="A2542" s="473" t="s">
        <v>1738</v>
      </c>
    </row>
    <row r="2544" spans="1:1">
      <c r="A2544" s="395" t="s">
        <v>1188</v>
      </c>
    </row>
    <row r="2545" spans="1:1">
      <c r="A2545" s="473" t="s">
        <v>1840</v>
      </c>
    </row>
    <row r="2546" spans="1:1">
      <c r="A2546" s="473" t="s">
        <v>1740</v>
      </c>
    </row>
    <row r="2547" spans="1:1">
      <c r="A2547" s="473" t="s">
        <v>2586</v>
      </c>
    </row>
    <row r="2549" spans="1:1">
      <c r="A2549" s="472" t="s">
        <v>1535</v>
      </c>
    </row>
    <row r="2550" spans="1:1">
      <c r="A2550" s="394" t="s">
        <v>1520</v>
      </c>
    </row>
    <row r="2551" spans="1:1">
      <c r="A2551" s="472" t="s">
        <v>1536</v>
      </c>
    </row>
    <row r="2554" spans="1:1">
      <c r="A2554" s="394" t="s">
        <v>1181</v>
      </c>
    </row>
    <row r="2555" spans="1:1">
      <c r="A2555" s="473" t="s">
        <v>2587</v>
      </c>
    </row>
    <row r="2556" spans="1:1">
      <c r="A2556" s="473" t="s">
        <v>2588</v>
      </c>
    </row>
    <row r="2557" spans="1:1">
      <c r="A2557" s="473" t="s">
        <v>2589</v>
      </c>
    </row>
    <row r="2558" spans="1:1">
      <c r="A2558" s="473" t="s">
        <v>2590</v>
      </c>
    </row>
    <row r="2559" spans="1:1">
      <c r="A2559" s="473" t="s">
        <v>2591</v>
      </c>
    </row>
    <row r="2560" spans="1:1">
      <c r="A2560" s="473" t="s">
        <v>2592</v>
      </c>
    </row>
    <row r="2561" spans="1:1">
      <c r="A2561" s="473" t="s">
        <v>2099</v>
      </c>
    </row>
    <row r="2562" spans="1:1">
      <c r="A2562" s="473" t="s">
        <v>2593</v>
      </c>
    </row>
    <row r="2563" spans="1:1">
      <c r="A2563" s="394" t="s">
        <v>1182</v>
      </c>
    </row>
    <row r="2564" spans="1:1">
      <c r="A2564" s="471" t="s">
        <v>1537</v>
      </c>
    </row>
    <row r="2565" spans="1:1">
      <c r="A2565" s="471" t="s">
        <v>1538</v>
      </c>
    </row>
    <row r="2566" spans="1:1">
      <c r="A2566" s="471" t="s">
        <v>1539</v>
      </c>
    </row>
    <row r="2567" spans="1:1">
      <c r="A2567" s="394" t="s">
        <v>1186</v>
      </c>
    </row>
    <row r="2568" spans="1:1">
      <c r="A2568" s="473" t="s">
        <v>1721</v>
      </c>
    </row>
    <row r="2569" spans="1:1">
      <c r="A2569" s="473" t="s">
        <v>1722</v>
      </c>
    </row>
    <row r="2570" spans="1:1">
      <c r="A2570" s="473" t="s">
        <v>2008</v>
      </c>
    </row>
    <row r="2571" spans="1:1">
      <c r="A2571" s="473" t="s">
        <v>2594</v>
      </c>
    </row>
    <row r="2572" spans="1:1">
      <c r="A2572" s="473" t="s">
        <v>2595</v>
      </c>
    </row>
    <row r="2573" spans="1:1">
      <c r="A2573" s="473" t="s">
        <v>1851</v>
      </c>
    </row>
    <row r="2575" spans="1:1">
      <c r="A2575" s="395" t="s">
        <v>1187</v>
      </c>
    </row>
    <row r="2576" spans="1:1">
      <c r="A2576" s="473" t="s">
        <v>2596</v>
      </c>
    </row>
    <row r="2577" spans="1:1">
      <c r="A2577" s="473" t="s">
        <v>2597</v>
      </c>
    </row>
    <row r="2578" spans="1:1">
      <c r="A2578" s="473" t="s">
        <v>2598</v>
      </c>
    </row>
    <row r="2579" spans="1:1">
      <c r="A2579" s="473" t="s">
        <v>1729</v>
      </c>
    </row>
    <row r="2580" spans="1:1">
      <c r="A2580" s="473" t="s">
        <v>2599</v>
      </c>
    </row>
    <row r="2581" spans="1:1">
      <c r="A2581" s="473" t="s">
        <v>1837</v>
      </c>
    </row>
    <row r="2582" spans="1:1">
      <c r="A2582" s="473" t="s">
        <v>2600</v>
      </c>
    </row>
    <row r="2583" spans="1:1">
      <c r="A2583" s="473" t="s">
        <v>2601</v>
      </c>
    </row>
    <row r="2584" spans="1:1">
      <c r="A2584" s="473" t="s">
        <v>2108</v>
      </c>
    </row>
    <row r="2585" spans="1:1">
      <c r="A2585" s="473" t="s">
        <v>1859</v>
      </c>
    </row>
    <row r="2586" spans="1:1">
      <c r="A2586" s="473" t="s">
        <v>1967</v>
      </c>
    </row>
    <row r="2587" spans="1:1">
      <c r="A2587" s="473" t="s">
        <v>1737</v>
      </c>
    </row>
    <row r="2588" spans="1:1">
      <c r="A2588" s="473" t="s">
        <v>1738</v>
      </c>
    </row>
    <row r="2590" spans="1:1">
      <c r="A2590" s="395" t="s">
        <v>1188</v>
      </c>
    </row>
    <row r="2591" spans="1:1">
      <c r="A2591" s="473" t="s">
        <v>2109</v>
      </c>
    </row>
    <row r="2592" spans="1:1">
      <c r="A2592" s="473" t="s">
        <v>2121</v>
      </c>
    </row>
    <row r="2593" spans="1:1">
      <c r="A2593" s="473" t="s">
        <v>2602</v>
      </c>
    </row>
    <row r="2594" spans="1:1">
      <c r="A2594" s="473" t="s">
        <v>2603</v>
      </c>
    </row>
    <row r="2596" spans="1:1">
      <c r="A2596" s="472" t="s">
        <v>1540</v>
      </c>
    </row>
    <row r="2597" spans="1:1">
      <c r="A2597" s="394" t="s">
        <v>1541</v>
      </c>
    </row>
    <row r="2598" spans="1:1">
      <c r="A2598" s="472" t="s">
        <v>1542</v>
      </c>
    </row>
    <row r="2601" spans="1:1">
      <c r="A2601" s="394" t="s">
        <v>1181</v>
      </c>
    </row>
    <row r="2602" spans="1:1">
      <c r="A2602" s="473" t="s">
        <v>2604</v>
      </c>
    </row>
    <row r="2603" spans="1:1">
      <c r="A2603" s="473" t="s">
        <v>2588</v>
      </c>
    </row>
    <row r="2604" spans="1:1">
      <c r="A2604" s="473" t="s">
        <v>2605</v>
      </c>
    </row>
    <row r="2605" spans="1:1">
      <c r="A2605" s="473" t="s">
        <v>2606</v>
      </c>
    </row>
    <row r="2606" spans="1:1">
      <c r="A2606" s="473" t="s">
        <v>2607</v>
      </c>
    </row>
    <row r="2607" spans="1:1">
      <c r="A2607" s="473" t="s">
        <v>2608</v>
      </c>
    </row>
    <row r="2608" spans="1:1">
      <c r="A2608" s="473" t="s">
        <v>1719</v>
      </c>
    </row>
    <row r="2609" spans="1:1">
      <c r="A2609" s="473" t="s">
        <v>2609</v>
      </c>
    </row>
    <row r="2610" spans="1:1">
      <c r="A2610" s="394" t="s">
        <v>1182</v>
      </c>
    </row>
    <row r="2611" spans="1:1">
      <c r="A2611" s="471" t="s">
        <v>1543</v>
      </c>
    </row>
    <row r="2612" spans="1:1">
      <c r="A2612" s="471" t="s">
        <v>1544</v>
      </c>
    </row>
    <row r="2613" spans="1:1">
      <c r="A2613" s="471" t="s">
        <v>1545</v>
      </c>
    </row>
    <row r="2614" spans="1:1">
      <c r="A2614" s="394" t="s">
        <v>1186</v>
      </c>
    </row>
    <row r="2615" spans="1:1">
      <c r="A2615" s="473" t="s">
        <v>2128</v>
      </c>
    </row>
    <row r="2616" spans="1:1">
      <c r="A2616" s="473" t="s">
        <v>1848</v>
      </c>
    </row>
    <row r="2617" spans="1:1">
      <c r="A2617" s="473" t="s">
        <v>1885</v>
      </c>
    </row>
    <row r="2618" spans="1:1">
      <c r="A2618" s="473" t="s">
        <v>2610</v>
      </c>
    </row>
    <row r="2619" spans="1:1">
      <c r="A2619" s="473" t="s">
        <v>2611</v>
      </c>
    </row>
    <row r="2620" spans="1:1">
      <c r="A2620" s="473" t="s">
        <v>2612</v>
      </c>
    </row>
    <row r="2622" spans="1:1">
      <c r="A2622" s="395" t="s">
        <v>1187</v>
      </c>
    </row>
    <row r="2623" spans="1:1">
      <c r="A2623" s="473" t="s">
        <v>2613</v>
      </c>
    </row>
    <row r="2624" spans="1:1">
      <c r="A2624" s="473" t="s">
        <v>2614</v>
      </c>
    </row>
    <row r="2625" spans="1:1">
      <c r="A2625" s="473" t="s">
        <v>2615</v>
      </c>
    </row>
    <row r="2626" spans="1:1">
      <c r="A2626" s="473" t="s">
        <v>2616</v>
      </c>
    </row>
    <row r="2627" spans="1:1">
      <c r="A2627" s="473" t="s">
        <v>2617</v>
      </c>
    </row>
    <row r="2628" spans="1:1">
      <c r="A2628" s="473" t="s">
        <v>1801</v>
      </c>
    </row>
    <row r="2629" spans="1:1">
      <c r="A2629" s="473" t="s">
        <v>2618</v>
      </c>
    </row>
    <row r="2630" spans="1:1">
      <c r="A2630" s="473" t="s">
        <v>2619</v>
      </c>
    </row>
    <row r="2631" spans="1:1">
      <c r="A2631" s="473" t="s">
        <v>1734</v>
      </c>
    </row>
    <row r="2632" spans="1:1">
      <c r="A2632" s="473" t="s">
        <v>1859</v>
      </c>
    </row>
    <row r="2633" spans="1:1">
      <c r="A2633" s="473" t="s">
        <v>1860</v>
      </c>
    </row>
    <row r="2634" spans="1:1">
      <c r="A2634" s="473" t="s">
        <v>1806</v>
      </c>
    </row>
    <row r="2635" spans="1:1">
      <c r="A2635" s="473" t="s">
        <v>2620</v>
      </c>
    </row>
    <row r="2637" spans="1:1">
      <c r="A2637" s="395" t="s">
        <v>1188</v>
      </c>
    </row>
    <row r="2638" spans="1:1">
      <c r="A2638" s="473" t="s">
        <v>1739</v>
      </c>
    </row>
    <row r="2639" spans="1:1">
      <c r="A2639" s="473" t="s">
        <v>1740</v>
      </c>
    </row>
    <row r="2640" spans="1:1">
      <c r="A2640" s="473" t="s">
        <v>2621</v>
      </c>
    </row>
    <row r="2641" spans="1:1">
      <c r="A2641" s="473" t="s">
        <v>2622</v>
      </c>
    </row>
    <row r="2643" spans="1:1">
      <c r="A2643" s="472" t="s">
        <v>1546</v>
      </c>
    </row>
    <row r="2644" spans="1:1">
      <c r="A2644" s="394" t="s">
        <v>1541</v>
      </c>
    </row>
    <row r="2645" spans="1:1">
      <c r="A2645" s="472" t="s">
        <v>1547</v>
      </c>
    </row>
    <row r="2648" spans="1:1">
      <c r="A2648" s="394" t="s">
        <v>1181</v>
      </c>
    </row>
    <row r="2649" spans="1:1">
      <c r="A2649" s="473" t="s">
        <v>2623</v>
      </c>
    </row>
    <row r="2650" spans="1:1">
      <c r="A2650" s="473" t="s">
        <v>2624</v>
      </c>
    </row>
    <row r="2651" spans="1:1">
      <c r="A2651" s="473" t="s">
        <v>2625</v>
      </c>
    </row>
    <row r="2652" spans="1:1">
      <c r="A2652" s="473" t="s">
        <v>2626</v>
      </c>
    </row>
    <row r="2653" spans="1:1">
      <c r="A2653" s="473" t="s">
        <v>2627</v>
      </c>
    </row>
    <row r="2654" spans="1:1">
      <c r="A2654" s="473" t="s">
        <v>2628</v>
      </c>
    </row>
    <row r="2655" spans="1:1">
      <c r="A2655" s="473" t="s">
        <v>1813</v>
      </c>
    </row>
    <row r="2656" spans="1:1">
      <c r="A2656" s="473" t="s">
        <v>2629</v>
      </c>
    </row>
    <row r="2657" spans="1:1">
      <c r="A2657" s="394" t="s">
        <v>1182</v>
      </c>
    </row>
    <row r="2658" spans="1:1">
      <c r="A2658" s="471" t="s">
        <v>1548</v>
      </c>
    </row>
    <row r="2659" spans="1:1">
      <c r="A2659" s="471" t="s">
        <v>1549</v>
      </c>
    </row>
    <row r="2660" spans="1:1">
      <c r="A2660" s="471" t="s">
        <v>1550</v>
      </c>
    </row>
    <row r="2661" spans="1:1">
      <c r="A2661" s="394" t="s">
        <v>1186</v>
      </c>
    </row>
    <row r="2662" spans="1:1">
      <c r="A2662" s="473" t="s">
        <v>1749</v>
      </c>
    </row>
    <row r="2663" spans="1:1">
      <c r="A2663" s="473" t="s">
        <v>1925</v>
      </c>
    </row>
    <row r="2664" spans="1:1">
      <c r="A2664" s="473" t="s">
        <v>1885</v>
      </c>
    </row>
    <row r="2665" spans="1:1">
      <c r="A2665" s="473" t="s">
        <v>2630</v>
      </c>
    </row>
    <row r="2666" spans="1:1">
      <c r="A2666" s="473" t="s">
        <v>2631</v>
      </c>
    </row>
    <row r="2667" spans="1:1">
      <c r="A2667" s="473" t="s">
        <v>2612</v>
      </c>
    </row>
    <row r="2669" spans="1:1">
      <c r="A2669" s="395" t="s">
        <v>1187</v>
      </c>
    </row>
    <row r="2670" spans="1:1">
      <c r="A2670" s="473" t="s">
        <v>2613</v>
      </c>
    </row>
    <row r="2671" spans="1:1">
      <c r="A2671" s="473" t="s">
        <v>2614</v>
      </c>
    </row>
    <row r="2672" spans="1:1">
      <c r="A2672" s="473" t="s">
        <v>2615</v>
      </c>
    </row>
    <row r="2673" spans="1:1">
      <c r="A2673" s="473" t="s">
        <v>2616</v>
      </c>
    </row>
    <row r="2674" spans="1:1">
      <c r="A2674" s="473" t="s">
        <v>2632</v>
      </c>
    </row>
    <row r="2675" spans="1:1">
      <c r="A2675" s="473" t="s">
        <v>1801</v>
      </c>
    </row>
    <row r="2676" spans="1:1">
      <c r="A2676" s="473" t="s">
        <v>2633</v>
      </c>
    </row>
    <row r="2677" spans="1:1">
      <c r="A2677" s="473" t="s">
        <v>2619</v>
      </c>
    </row>
    <row r="2678" spans="1:1">
      <c r="A2678" s="473" t="s">
        <v>2634</v>
      </c>
    </row>
    <row r="2679" spans="1:1">
      <c r="A2679" s="473" t="s">
        <v>1759</v>
      </c>
    </row>
    <row r="2680" spans="1:1">
      <c r="A2680" s="473" t="s">
        <v>1931</v>
      </c>
    </row>
    <row r="2681" spans="1:1">
      <c r="A2681" s="473" t="s">
        <v>1779</v>
      </c>
    </row>
    <row r="2682" spans="1:1">
      <c r="A2682" s="473" t="s">
        <v>1806</v>
      </c>
    </row>
    <row r="2683" spans="1:1">
      <c r="A2683" s="473" t="s">
        <v>2539</v>
      </c>
    </row>
    <row r="2685" spans="1:1">
      <c r="A2685" s="395" t="s">
        <v>1188</v>
      </c>
    </row>
    <row r="2686" spans="1:1">
      <c r="A2686" s="473" t="s">
        <v>1739</v>
      </c>
    </row>
    <row r="2687" spans="1:1">
      <c r="A2687" s="473" t="s">
        <v>2635</v>
      </c>
    </row>
    <row r="2688" spans="1:1">
      <c r="A2688" s="473" t="s">
        <v>2335</v>
      </c>
    </row>
    <row r="2689" spans="1:1">
      <c r="A2689" s="473" t="s">
        <v>2636</v>
      </c>
    </row>
    <row r="2691" spans="1:1">
      <c r="A2691" s="472" t="s">
        <v>1551</v>
      </c>
    </row>
    <row r="2692" spans="1:1">
      <c r="A2692" s="394" t="s">
        <v>1552</v>
      </c>
    </row>
    <row r="2693" spans="1:1">
      <c r="A2693" s="471" t="s">
        <v>1553</v>
      </c>
    </row>
    <row r="2696" spans="1:1">
      <c r="A2696" s="394" t="s">
        <v>1181</v>
      </c>
    </row>
    <row r="2697" spans="1:1">
      <c r="A2697" s="473" t="s">
        <v>2637</v>
      </c>
    </row>
    <row r="2698" spans="1:1">
      <c r="A2698" s="473" t="s">
        <v>2638</v>
      </c>
    </row>
    <row r="2699" spans="1:1">
      <c r="A2699" s="473" t="s">
        <v>2639</v>
      </c>
    </row>
    <row r="2700" spans="1:1">
      <c r="A2700" s="473" t="s">
        <v>2640</v>
      </c>
    </row>
    <row r="2701" spans="1:1">
      <c r="A2701" s="473" t="s">
        <v>2641</v>
      </c>
    </row>
    <row r="2702" spans="1:1">
      <c r="A2702" s="473" t="s">
        <v>2642</v>
      </c>
    </row>
    <row r="2703" spans="1:1">
      <c r="A2703" s="473" t="s">
        <v>2476</v>
      </c>
    </row>
    <row r="2704" spans="1:1">
      <c r="A2704" s="473" t="s">
        <v>2643</v>
      </c>
    </row>
    <row r="2705" spans="1:1">
      <c r="A2705" s="394" t="s">
        <v>1182</v>
      </c>
    </row>
    <row r="2706" spans="1:1">
      <c r="A2706" s="471" t="s">
        <v>1554</v>
      </c>
    </row>
    <row r="2707" spans="1:1">
      <c r="A2707" s="471" t="s">
        <v>1555</v>
      </c>
    </row>
    <row r="2708" spans="1:1">
      <c r="A2708" s="471" t="s">
        <v>1556</v>
      </c>
    </row>
    <row r="2709" spans="1:1">
      <c r="A2709" s="394" t="s">
        <v>1186</v>
      </c>
    </row>
    <row r="2710" spans="1:1">
      <c r="A2710" s="473" t="s">
        <v>2477</v>
      </c>
    </row>
    <row r="2711" spans="1:1">
      <c r="A2711" s="473" t="s">
        <v>2478</v>
      </c>
    </row>
    <row r="2712" spans="1:1">
      <c r="A2712" s="473" t="s">
        <v>2479</v>
      </c>
    </row>
    <row r="2713" spans="1:1">
      <c r="A2713" s="473" t="s">
        <v>2644</v>
      </c>
    </row>
    <row r="2714" spans="1:1">
      <c r="A2714" s="473" t="s">
        <v>2645</v>
      </c>
    </row>
    <row r="2715" spans="1:1">
      <c r="A2715" s="473" t="s">
        <v>1725</v>
      </c>
    </row>
    <row r="2717" spans="1:1">
      <c r="A2717" s="395" t="s">
        <v>1187</v>
      </c>
    </row>
    <row r="2718" spans="1:1">
      <c r="A2718" s="473" t="s">
        <v>2646</v>
      </c>
    </row>
    <row r="2719" spans="1:1">
      <c r="A2719" s="473" t="s">
        <v>2647</v>
      </c>
    </row>
    <row r="2720" spans="1:1">
      <c r="A2720" s="473" t="s">
        <v>2648</v>
      </c>
    </row>
    <row r="2721" spans="1:1">
      <c r="A2721" s="473" t="s">
        <v>1729</v>
      </c>
    </row>
    <row r="2722" spans="1:1">
      <c r="A2722" s="473" t="s">
        <v>2649</v>
      </c>
    </row>
    <row r="2723" spans="1:1">
      <c r="A2723" s="473" t="s">
        <v>1980</v>
      </c>
    </row>
    <row r="2724" spans="1:1">
      <c r="A2724" s="473" t="s">
        <v>2650</v>
      </c>
    </row>
    <row r="2725" spans="1:1">
      <c r="A2725" s="473" t="s">
        <v>2154</v>
      </c>
    </row>
    <row r="2726" spans="1:1">
      <c r="A2726" s="473" t="s">
        <v>2651</v>
      </c>
    </row>
    <row r="2727" spans="1:1">
      <c r="A2727" s="473" t="s">
        <v>1918</v>
      </c>
    </row>
    <row r="2728" spans="1:1">
      <c r="A2728" s="473" t="s">
        <v>2457</v>
      </c>
    </row>
    <row r="2729" spans="1:1">
      <c r="A2729" s="473" t="s">
        <v>2052</v>
      </c>
    </row>
    <row r="2730" spans="1:1">
      <c r="A2730" s="473" t="s">
        <v>1737</v>
      </c>
    </row>
    <row r="2731" spans="1:1">
      <c r="A2731" s="473" t="s">
        <v>1738</v>
      </c>
    </row>
    <row r="2733" spans="1:1">
      <c r="A2733" s="395" t="s">
        <v>1188</v>
      </c>
    </row>
    <row r="2734" spans="1:1">
      <c r="A2734" s="473" t="s">
        <v>2652</v>
      </c>
    </row>
    <row r="2735" spans="1:1">
      <c r="A2735" s="473" t="s">
        <v>2054</v>
      </c>
    </row>
    <row r="2736" spans="1:1">
      <c r="A2736" s="473" t="s">
        <v>2055</v>
      </c>
    </row>
    <row r="2737" spans="1:1">
      <c r="A2737" s="473" t="s">
        <v>2653</v>
      </c>
    </row>
    <row r="2739" spans="1:1">
      <c r="A2739" s="472" t="s">
        <v>1557</v>
      </c>
    </row>
    <row r="2740" spans="1:1">
      <c r="A2740" s="394" t="s">
        <v>1552</v>
      </c>
    </row>
    <row r="2741" spans="1:1">
      <c r="A2741" s="472" t="s">
        <v>1558</v>
      </c>
    </row>
    <row r="2744" spans="1:1">
      <c r="A2744" s="394" t="s">
        <v>1181</v>
      </c>
    </row>
    <row r="2745" spans="1:1">
      <c r="A2745" s="473" t="s">
        <v>2637</v>
      </c>
    </row>
    <row r="2746" spans="1:1">
      <c r="A2746" s="473" t="s">
        <v>2638</v>
      </c>
    </row>
    <row r="2747" spans="1:1">
      <c r="A2747" s="473" t="s">
        <v>2639</v>
      </c>
    </row>
    <row r="2748" spans="1:1">
      <c r="A2748" s="473" t="s">
        <v>2640</v>
      </c>
    </row>
    <row r="2749" spans="1:1">
      <c r="A2749" s="473" t="s">
        <v>2641</v>
      </c>
    </row>
    <row r="2750" spans="1:1">
      <c r="A2750" s="473" t="s">
        <v>2642</v>
      </c>
    </row>
    <row r="2751" spans="1:1">
      <c r="A2751" s="473" t="s">
        <v>2476</v>
      </c>
    </row>
    <row r="2752" spans="1:1">
      <c r="A2752" s="473" t="s">
        <v>2643</v>
      </c>
    </row>
    <row r="2753" spans="1:1">
      <c r="A2753" s="394" t="s">
        <v>1182</v>
      </c>
    </row>
    <row r="2754" spans="1:1">
      <c r="A2754" s="471" t="s">
        <v>1559</v>
      </c>
    </row>
    <row r="2755" spans="1:1">
      <c r="A2755" s="471" t="s">
        <v>1560</v>
      </c>
    </row>
    <row r="2756" spans="1:1">
      <c r="A2756" s="471" t="s">
        <v>1561</v>
      </c>
    </row>
    <row r="2757" spans="1:1">
      <c r="A2757" s="394" t="s">
        <v>1186</v>
      </c>
    </row>
    <row r="2758" spans="1:1">
      <c r="A2758" s="473" t="s">
        <v>2477</v>
      </c>
    </row>
    <row r="2759" spans="1:1">
      <c r="A2759" s="473" t="s">
        <v>2478</v>
      </c>
    </row>
    <row r="2760" spans="1:1">
      <c r="A2760" s="473" t="s">
        <v>2479</v>
      </c>
    </row>
    <row r="2761" spans="1:1">
      <c r="A2761" s="473" t="s">
        <v>2654</v>
      </c>
    </row>
    <row r="2762" spans="1:1">
      <c r="A2762" s="473" t="s">
        <v>2655</v>
      </c>
    </row>
    <row r="2763" spans="1:1">
      <c r="A2763" s="473" t="s">
        <v>1725</v>
      </c>
    </row>
    <row r="2765" spans="1:1">
      <c r="A2765" s="395" t="s">
        <v>1187</v>
      </c>
    </row>
    <row r="2766" spans="1:1">
      <c r="A2766" s="473" t="s">
        <v>2656</v>
      </c>
    </row>
    <row r="2767" spans="1:1">
      <c r="A2767" s="473" t="s">
        <v>2657</v>
      </c>
    </row>
    <row r="2768" spans="1:1">
      <c r="A2768" s="473" t="s">
        <v>2615</v>
      </c>
    </row>
    <row r="2769" spans="1:1">
      <c r="A2769" s="473" t="s">
        <v>2090</v>
      </c>
    </row>
    <row r="2770" spans="1:1">
      <c r="A2770" s="473" t="s">
        <v>2649</v>
      </c>
    </row>
    <row r="2771" spans="1:1">
      <c r="A2771" s="473" t="s">
        <v>1980</v>
      </c>
    </row>
    <row r="2772" spans="1:1">
      <c r="A2772" s="473" t="s">
        <v>2658</v>
      </c>
    </row>
    <row r="2773" spans="1:1">
      <c r="A2773" s="473" t="s">
        <v>2154</v>
      </c>
    </row>
    <row r="2774" spans="1:1">
      <c r="A2774" s="473" t="s">
        <v>2155</v>
      </c>
    </row>
    <row r="2775" spans="1:1">
      <c r="A2775" s="473" t="s">
        <v>1918</v>
      </c>
    </row>
    <row r="2776" spans="1:1">
      <c r="A2776" s="473" t="s">
        <v>2457</v>
      </c>
    </row>
    <row r="2777" spans="1:1">
      <c r="A2777" s="473" t="s">
        <v>2052</v>
      </c>
    </row>
    <row r="2778" spans="1:1">
      <c r="A2778" s="473" t="s">
        <v>2264</v>
      </c>
    </row>
    <row r="2779" spans="1:1">
      <c r="A2779" s="473" t="s">
        <v>1738</v>
      </c>
    </row>
    <row r="2781" spans="1:1">
      <c r="A2781" s="395" t="s">
        <v>1188</v>
      </c>
    </row>
    <row r="2782" spans="1:1">
      <c r="A2782" s="473" t="s">
        <v>2192</v>
      </c>
    </row>
    <row r="2783" spans="1:1">
      <c r="A2783" s="473" t="s">
        <v>2659</v>
      </c>
    </row>
    <row r="2784" spans="1:1">
      <c r="A2784" s="473" t="s">
        <v>2660</v>
      </c>
    </row>
    <row r="2785" spans="1:1">
      <c r="A2785" s="473" t="s">
        <v>2095</v>
      </c>
    </row>
    <row r="2786" spans="1:1">
      <c r="A2786" s="473" t="s">
        <v>2661</v>
      </c>
    </row>
    <row r="2788" spans="1:1">
      <c r="A2788" s="472" t="s">
        <v>1562</v>
      </c>
    </row>
    <row r="2789" spans="1:1">
      <c r="A2789" s="394" t="s">
        <v>1552</v>
      </c>
    </row>
    <row r="2790" spans="1:1">
      <c r="A2790" s="472" t="s">
        <v>1563</v>
      </c>
    </row>
    <row r="2793" spans="1:1">
      <c r="A2793" s="394" t="s">
        <v>1181</v>
      </c>
    </row>
    <row r="2794" spans="1:1">
      <c r="A2794" s="473" t="s">
        <v>2662</v>
      </c>
    </row>
    <row r="2795" spans="1:1">
      <c r="A2795" s="473" t="s">
        <v>1763</v>
      </c>
    </row>
    <row r="2796" spans="1:1">
      <c r="A2796" s="473" t="s">
        <v>2663</v>
      </c>
    </row>
    <row r="2797" spans="1:1">
      <c r="A2797" s="473" t="s">
        <v>2664</v>
      </c>
    </row>
    <row r="2798" spans="1:1">
      <c r="A2798" s="473" t="s">
        <v>2665</v>
      </c>
    </row>
    <row r="2799" spans="1:1">
      <c r="A2799" s="473" t="s">
        <v>2666</v>
      </c>
    </row>
    <row r="2800" spans="1:1">
      <c r="A2800" s="473" t="s">
        <v>1719</v>
      </c>
    </row>
    <row r="2801" spans="1:1">
      <c r="A2801" s="473" t="s">
        <v>1768</v>
      </c>
    </row>
    <row r="2802" spans="1:1">
      <c r="A2802" s="394" t="s">
        <v>1182</v>
      </c>
    </row>
    <row r="2803" spans="1:1">
      <c r="A2803" s="471" t="s">
        <v>1564</v>
      </c>
    </row>
    <row r="2804" spans="1:1">
      <c r="A2804" s="471" t="s">
        <v>1565</v>
      </c>
    </row>
    <row r="2805" spans="1:1">
      <c r="A2805" s="471" t="s">
        <v>1566</v>
      </c>
    </row>
    <row r="2806" spans="1:1">
      <c r="A2806" s="394" t="s">
        <v>1186</v>
      </c>
    </row>
    <row r="2807" spans="1:1">
      <c r="A2807" s="473" t="s">
        <v>1749</v>
      </c>
    </row>
    <row r="2808" spans="1:1">
      <c r="A2808" s="473" t="s">
        <v>1722</v>
      </c>
    </row>
    <row r="2809" spans="1:1">
      <c r="A2809" s="473" t="s">
        <v>1769</v>
      </c>
    </row>
    <row r="2810" spans="1:1">
      <c r="A2810" s="473" t="s">
        <v>2667</v>
      </c>
    </row>
    <row r="2811" spans="1:1">
      <c r="A2811" s="473" t="s">
        <v>2668</v>
      </c>
    </row>
    <row r="2812" spans="1:1">
      <c r="A2812" s="473" t="s">
        <v>2066</v>
      </c>
    </row>
    <row r="2814" spans="1:1">
      <c r="A2814" s="395" t="s">
        <v>1187</v>
      </c>
    </row>
    <row r="2815" spans="1:1">
      <c r="A2815" s="473" t="s">
        <v>2669</v>
      </c>
    </row>
    <row r="2816" spans="1:1">
      <c r="A2816" s="473" t="s">
        <v>2670</v>
      </c>
    </row>
    <row r="2817" spans="1:1">
      <c r="A2817" s="473" t="s">
        <v>2671</v>
      </c>
    </row>
    <row r="2818" spans="1:1">
      <c r="A2818" s="473" t="s">
        <v>1729</v>
      </c>
    </row>
    <row r="2819" spans="1:1">
      <c r="A2819" s="473" t="s">
        <v>2672</v>
      </c>
    </row>
    <row r="2820" spans="1:1">
      <c r="A2820" s="473" t="s">
        <v>1801</v>
      </c>
    </row>
    <row r="2821" spans="1:1">
      <c r="A2821" s="473" t="s">
        <v>2673</v>
      </c>
    </row>
    <row r="2822" spans="1:1">
      <c r="A2822" s="473" t="s">
        <v>2674</v>
      </c>
    </row>
    <row r="2823" spans="1:1">
      <c r="A2823" s="473" t="s">
        <v>1918</v>
      </c>
    </row>
    <row r="2824" spans="1:1">
      <c r="A2824" s="473" t="s">
        <v>1735</v>
      </c>
    </row>
    <row r="2825" spans="1:1">
      <c r="A2825" s="473" t="s">
        <v>1967</v>
      </c>
    </row>
    <row r="2826" spans="1:1">
      <c r="A2826" s="473" t="s">
        <v>1780</v>
      </c>
    </row>
    <row r="2827" spans="1:1">
      <c r="A2827" s="473" t="s">
        <v>1738</v>
      </c>
    </row>
    <row r="2829" spans="1:1">
      <c r="A2829" s="395" t="s">
        <v>1188</v>
      </c>
    </row>
    <row r="2830" spans="1:1">
      <c r="A2830" s="473" t="s">
        <v>2675</v>
      </c>
    </row>
    <row r="2831" spans="1:1">
      <c r="A2831" s="473" t="s">
        <v>1740</v>
      </c>
    </row>
    <row r="2832" spans="1:1">
      <c r="A2832" s="473" t="s">
        <v>2676</v>
      </c>
    </row>
    <row r="2833" spans="1:1">
      <c r="A2833" s="473" t="s">
        <v>2300</v>
      </c>
    </row>
    <row r="2834" spans="1:1">
      <c r="A2834" s="473" t="s">
        <v>2677</v>
      </c>
    </row>
    <row r="2836" spans="1:1">
      <c r="A2836" s="472" t="s">
        <v>1567</v>
      </c>
    </row>
    <row r="2837" spans="1:1">
      <c r="A2837" s="394" t="s">
        <v>1552</v>
      </c>
    </row>
    <row r="2838" spans="1:1">
      <c r="A2838" s="472" t="s">
        <v>1568</v>
      </c>
    </row>
    <row r="2841" spans="1:1">
      <c r="A2841" s="394" t="s">
        <v>1181</v>
      </c>
    </row>
    <row r="2842" spans="1:1">
      <c r="A2842" s="473" t="s">
        <v>2678</v>
      </c>
    </row>
    <row r="2843" spans="1:1">
      <c r="A2843" s="473" t="s">
        <v>1763</v>
      </c>
    </row>
    <row r="2844" spans="1:1">
      <c r="A2844" s="473" t="s">
        <v>2679</v>
      </c>
    </row>
    <row r="2845" spans="1:1">
      <c r="A2845" s="473" t="s">
        <v>2680</v>
      </c>
    </row>
    <row r="2846" spans="1:1">
      <c r="A2846" s="473" t="s">
        <v>2681</v>
      </c>
    </row>
    <row r="2847" spans="1:1">
      <c r="A2847" s="473" t="s">
        <v>2642</v>
      </c>
    </row>
    <row r="2848" spans="1:1">
      <c r="A2848" s="473" t="s">
        <v>2239</v>
      </c>
    </row>
    <row r="2849" spans="1:1">
      <c r="A2849" s="473" t="s">
        <v>2682</v>
      </c>
    </row>
    <row r="2850" spans="1:1">
      <c r="A2850" s="394" t="s">
        <v>1182</v>
      </c>
    </row>
    <row r="2851" spans="1:1">
      <c r="A2851" s="471" t="s">
        <v>1569</v>
      </c>
    </row>
    <row r="2852" spans="1:1">
      <c r="A2852" s="471" t="s">
        <v>1570</v>
      </c>
    </row>
    <row r="2853" spans="1:1">
      <c r="A2853" s="471" t="s">
        <v>1571</v>
      </c>
    </row>
    <row r="2854" spans="1:1">
      <c r="A2854" s="394" t="s">
        <v>1186</v>
      </c>
    </row>
    <row r="2855" spans="1:1">
      <c r="A2855" s="473" t="s">
        <v>2477</v>
      </c>
    </row>
    <row r="2856" spans="1:1">
      <c r="A2856" s="473" t="s">
        <v>2063</v>
      </c>
    </row>
    <row r="2857" spans="1:1">
      <c r="A2857" s="473" t="s">
        <v>2479</v>
      </c>
    </row>
    <row r="2858" spans="1:1">
      <c r="A2858" s="473" t="s">
        <v>2683</v>
      </c>
    </row>
    <row r="2859" spans="1:1">
      <c r="A2859" s="473" t="s">
        <v>2684</v>
      </c>
    </row>
    <row r="2860" spans="1:1">
      <c r="A2860" s="473" t="s">
        <v>2066</v>
      </c>
    </row>
    <row r="2862" spans="1:1">
      <c r="A2862" s="395" t="s">
        <v>1187</v>
      </c>
    </row>
    <row r="2863" spans="1:1">
      <c r="A2863" s="473" t="s">
        <v>2046</v>
      </c>
    </row>
    <row r="2864" spans="1:1">
      <c r="A2864" s="473" t="s">
        <v>2685</v>
      </c>
    </row>
    <row r="2865" spans="1:1">
      <c r="A2865" s="473" t="s">
        <v>2686</v>
      </c>
    </row>
    <row r="2866" spans="1:1">
      <c r="A2866" s="473" t="s">
        <v>1729</v>
      </c>
    </row>
    <row r="2867" spans="1:1">
      <c r="A2867" s="473" t="s">
        <v>2687</v>
      </c>
    </row>
    <row r="2868" spans="1:1">
      <c r="A2868" s="473" t="s">
        <v>2688</v>
      </c>
    </row>
    <row r="2869" spans="1:1">
      <c r="A2869" s="473" t="s">
        <v>2689</v>
      </c>
    </row>
    <row r="2870" spans="1:1">
      <c r="A2870" s="473" t="s">
        <v>2690</v>
      </c>
    </row>
    <row r="2871" spans="1:1">
      <c r="A2871" s="473" t="s">
        <v>2691</v>
      </c>
    </row>
    <row r="2872" spans="1:1">
      <c r="A2872" s="473" t="s">
        <v>1918</v>
      </c>
    </row>
    <row r="2873" spans="1:1">
      <c r="A2873" s="473" t="s">
        <v>2075</v>
      </c>
    </row>
    <row r="2874" spans="1:1">
      <c r="A2874" s="473" t="s">
        <v>2052</v>
      </c>
    </row>
    <row r="2875" spans="1:1">
      <c r="A2875" s="473" t="s">
        <v>1780</v>
      </c>
    </row>
    <row r="2876" spans="1:1">
      <c r="A2876" s="473" t="s">
        <v>1738</v>
      </c>
    </row>
    <row r="2878" spans="1:1">
      <c r="A2878" s="395" t="s">
        <v>1188</v>
      </c>
    </row>
    <row r="2879" spans="1:1">
      <c r="A2879" s="473" t="s">
        <v>2192</v>
      </c>
    </row>
    <row r="2880" spans="1:1">
      <c r="A2880" s="473" t="s">
        <v>2054</v>
      </c>
    </row>
    <row r="2881" spans="1:1">
      <c r="A2881" s="473" t="s">
        <v>2692</v>
      </c>
    </row>
    <row r="2882" spans="1:1">
      <c r="A2882" s="473" t="s">
        <v>2693</v>
      </c>
    </row>
    <row r="2883" spans="1:1">
      <c r="A2883" s="473" t="s">
        <v>2694</v>
      </c>
    </row>
    <row r="2885" spans="1:1">
      <c r="A2885" s="472" t="s">
        <v>1572</v>
      </c>
    </row>
    <row r="2886" spans="1:1">
      <c r="A2886" s="394" t="s">
        <v>1552</v>
      </c>
    </row>
    <row r="2887" spans="1:1">
      <c r="A2887" s="472" t="s">
        <v>1573</v>
      </c>
    </row>
    <row r="2890" spans="1:1">
      <c r="A2890" s="394" t="s">
        <v>1181</v>
      </c>
    </row>
    <row r="2891" spans="1:1">
      <c r="A2891" s="473" t="s">
        <v>2662</v>
      </c>
    </row>
    <row r="2892" spans="1:1">
      <c r="A2892" s="473" t="s">
        <v>2695</v>
      </c>
    </row>
    <row r="2893" spans="1:1">
      <c r="A2893" s="473" t="s">
        <v>2696</v>
      </c>
    </row>
    <row r="2894" spans="1:1">
      <c r="A2894" s="473" t="s">
        <v>2697</v>
      </c>
    </row>
    <row r="2895" spans="1:1">
      <c r="A2895" s="473" t="s">
        <v>2698</v>
      </c>
    </row>
    <row r="2896" spans="1:1">
      <c r="A2896" s="473" t="s">
        <v>2699</v>
      </c>
    </row>
    <row r="2897" spans="1:1">
      <c r="A2897" s="473" t="s">
        <v>1790</v>
      </c>
    </row>
    <row r="2898" spans="1:1">
      <c r="A2898" s="473" t="s">
        <v>2700</v>
      </c>
    </row>
    <row r="2899" spans="1:1">
      <c r="A2899" s="394" t="s">
        <v>1182</v>
      </c>
    </row>
    <row r="2900" spans="1:1">
      <c r="A2900" s="471" t="s">
        <v>1574</v>
      </c>
    </row>
    <row r="2901" spans="1:1">
      <c r="A2901" s="471" t="s">
        <v>1575</v>
      </c>
    </row>
    <row r="2902" spans="1:1">
      <c r="A2902" s="471" t="s">
        <v>1576</v>
      </c>
    </row>
    <row r="2903" spans="1:1">
      <c r="A2903" s="394" t="s">
        <v>1186</v>
      </c>
    </row>
    <row r="2904" spans="1:1">
      <c r="A2904" s="473" t="s">
        <v>1749</v>
      </c>
    </row>
    <row r="2905" spans="1:1">
      <c r="A2905" s="473" t="s">
        <v>1722</v>
      </c>
    </row>
    <row r="2906" spans="1:1">
      <c r="A2906" s="473" t="s">
        <v>2701</v>
      </c>
    </row>
    <row r="2907" spans="1:1">
      <c r="A2907" s="473" t="s">
        <v>2702</v>
      </c>
    </row>
    <row r="2908" spans="1:1">
      <c r="A2908" s="473" t="s">
        <v>2703</v>
      </c>
    </row>
    <row r="2909" spans="1:1">
      <c r="A2909" s="473" t="s">
        <v>2066</v>
      </c>
    </row>
    <row r="2911" spans="1:1">
      <c r="A2911" s="395" t="s">
        <v>1187</v>
      </c>
    </row>
    <row r="2912" spans="1:1">
      <c r="A2912" s="473" t="s">
        <v>2704</v>
      </c>
    </row>
    <row r="2913" spans="1:1">
      <c r="A2913" s="473" t="s">
        <v>2705</v>
      </c>
    </row>
    <row r="2914" spans="1:1">
      <c r="A2914" s="473" t="s">
        <v>2706</v>
      </c>
    </row>
    <row r="2915" spans="1:1">
      <c r="A2915" s="473" t="s">
        <v>1729</v>
      </c>
    </row>
    <row r="2916" spans="1:1">
      <c r="A2916" s="473" t="s">
        <v>2687</v>
      </c>
    </row>
    <row r="2917" spans="1:1">
      <c r="A2917" s="473" t="s">
        <v>2688</v>
      </c>
    </row>
    <row r="2918" spans="1:1">
      <c r="A2918" s="473" t="s">
        <v>2689</v>
      </c>
    </row>
    <row r="2919" spans="1:1">
      <c r="A2919" s="473" t="s">
        <v>2690</v>
      </c>
    </row>
    <row r="2920" spans="1:1">
      <c r="A2920" s="473" t="s">
        <v>2707</v>
      </c>
    </row>
    <row r="2921" spans="1:1">
      <c r="A2921" s="473" t="s">
        <v>1804</v>
      </c>
    </row>
    <row r="2922" spans="1:1">
      <c r="A2922" s="473" t="s">
        <v>2708</v>
      </c>
    </row>
    <row r="2923" spans="1:1">
      <c r="A2923" s="473" t="s">
        <v>1860</v>
      </c>
    </row>
    <row r="2924" spans="1:1">
      <c r="A2924" s="473" t="s">
        <v>2264</v>
      </c>
    </row>
    <row r="2925" spans="1:1">
      <c r="A2925" s="473" t="s">
        <v>1738</v>
      </c>
    </row>
    <row r="2927" spans="1:1">
      <c r="A2927" s="395" t="s">
        <v>1188</v>
      </c>
    </row>
    <row r="2928" spans="1:1">
      <c r="A2928" s="473" t="s">
        <v>2192</v>
      </c>
    </row>
    <row r="2929" spans="1:1">
      <c r="A2929" s="473" t="s">
        <v>2709</v>
      </c>
    </row>
    <row r="2930" spans="1:1">
      <c r="A2930" s="473" t="s">
        <v>2693</v>
      </c>
    </row>
    <row r="2931" spans="1:1">
      <c r="A2931" s="473" t="s">
        <v>2710</v>
      </c>
    </row>
    <row r="2933" spans="1:1">
      <c r="A2933" s="472" t="s">
        <v>1577</v>
      </c>
    </row>
    <row r="2934" spans="1:1">
      <c r="A2934" s="394" t="s">
        <v>1552</v>
      </c>
    </row>
    <row r="2935" spans="1:1">
      <c r="A2935" s="472" t="s">
        <v>1578</v>
      </c>
    </row>
    <row r="2938" spans="1:1">
      <c r="A2938" s="394" t="s">
        <v>1181</v>
      </c>
    </row>
    <row r="2939" spans="1:1">
      <c r="A2939" s="473" t="s">
        <v>2038</v>
      </c>
    </row>
    <row r="2940" spans="1:1">
      <c r="A2940" s="473" t="s">
        <v>2542</v>
      </c>
    </row>
    <row r="2941" spans="1:1">
      <c r="A2941" s="473" t="s">
        <v>2711</v>
      </c>
    </row>
    <row r="2942" spans="1:1">
      <c r="A2942" s="473" t="s">
        <v>2712</v>
      </c>
    </row>
    <row r="2943" spans="1:1">
      <c r="A2943" s="473" t="s">
        <v>2713</v>
      </c>
    </row>
    <row r="2944" spans="1:1">
      <c r="A2944" s="473" t="s">
        <v>2714</v>
      </c>
    </row>
    <row r="2945" spans="1:1">
      <c r="A2945" s="473" t="s">
        <v>2715</v>
      </c>
    </row>
    <row r="2946" spans="1:1">
      <c r="A2946" s="473" t="s">
        <v>2716</v>
      </c>
    </row>
    <row r="2947" spans="1:1">
      <c r="A2947" s="394" t="s">
        <v>1182</v>
      </c>
    </row>
    <row r="2948" spans="1:1">
      <c r="A2948" s="471" t="s">
        <v>1579</v>
      </c>
    </row>
    <row r="2949" spans="1:1">
      <c r="A2949" s="471" t="s">
        <v>1580</v>
      </c>
    </row>
    <row r="2950" spans="1:1">
      <c r="A2950" s="471" t="s">
        <v>1581</v>
      </c>
    </row>
    <row r="2951" spans="1:1">
      <c r="A2951" s="394" t="s">
        <v>1186</v>
      </c>
    </row>
    <row r="2952" spans="1:1">
      <c r="A2952" s="473" t="s">
        <v>1941</v>
      </c>
    </row>
    <row r="2953" spans="1:1">
      <c r="A2953" s="473" t="s">
        <v>1722</v>
      </c>
    </row>
    <row r="2954" spans="1:1">
      <c r="A2954" s="473" t="s">
        <v>2717</v>
      </c>
    </row>
    <row r="2955" spans="1:1">
      <c r="A2955" s="473" t="s">
        <v>2718</v>
      </c>
    </row>
    <row r="2956" spans="1:1">
      <c r="A2956" s="473" t="s">
        <v>1770</v>
      </c>
    </row>
    <row r="2957" spans="1:1">
      <c r="A2957" s="473" t="s">
        <v>1851</v>
      </c>
    </row>
    <row r="2959" spans="1:1">
      <c r="A2959" s="395" t="s">
        <v>1187</v>
      </c>
    </row>
    <row r="2960" spans="1:1">
      <c r="A2960" s="473" t="s">
        <v>2719</v>
      </c>
    </row>
    <row r="2961" spans="1:1">
      <c r="A2961" s="473" t="s">
        <v>2720</v>
      </c>
    </row>
    <row r="2962" spans="1:1">
      <c r="A2962" s="473" t="s">
        <v>2721</v>
      </c>
    </row>
    <row r="2963" spans="1:1">
      <c r="A2963" s="473" t="s">
        <v>1874</v>
      </c>
    </row>
    <row r="2964" spans="1:1">
      <c r="A2964" s="473" t="s">
        <v>2722</v>
      </c>
    </row>
    <row r="2965" spans="1:1">
      <c r="A2965" s="473" t="s">
        <v>1582</v>
      </c>
    </row>
    <row r="2966" spans="1:1">
      <c r="A2966" s="473" t="s">
        <v>2333</v>
      </c>
    </row>
    <row r="2967" spans="1:1">
      <c r="A2967" s="473" t="s">
        <v>2723</v>
      </c>
    </row>
    <row r="2968" spans="1:1">
      <c r="A2968" s="473" t="s">
        <v>2724</v>
      </c>
    </row>
    <row r="2969" spans="1:1">
      <c r="A2969" s="473" t="s">
        <v>1918</v>
      </c>
    </row>
    <row r="2970" spans="1:1">
      <c r="A2970" s="473" t="s">
        <v>1735</v>
      </c>
    </row>
    <row r="2971" spans="1:1">
      <c r="A2971" s="473" t="s">
        <v>1860</v>
      </c>
    </row>
    <row r="2972" spans="1:1">
      <c r="A2972" s="473" t="s">
        <v>2264</v>
      </c>
    </row>
    <row r="2973" spans="1:1">
      <c r="A2973" s="473" t="s">
        <v>1738</v>
      </c>
    </row>
    <row r="2975" spans="1:1">
      <c r="A2975" s="395" t="s">
        <v>1188</v>
      </c>
    </row>
    <row r="2976" spans="1:1">
      <c r="A2976" s="473" t="s">
        <v>1739</v>
      </c>
    </row>
    <row r="2977" spans="1:1">
      <c r="A2977" s="473" t="s">
        <v>2725</v>
      </c>
    </row>
    <row r="2978" spans="1:1">
      <c r="A2978" s="473" t="s">
        <v>2726</v>
      </c>
    </row>
    <row r="2980" spans="1:1">
      <c r="A2980" s="472" t="s">
        <v>388</v>
      </c>
    </row>
    <row r="2981" spans="1:1">
      <c r="A2981" s="394" t="s">
        <v>1583</v>
      </c>
    </row>
    <row r="2982" spans="1:1">
      <c r="A2982" s="472" t="s">
        <v>1584</v>
      </c>
    </row>
    <row r="2985" spans="1:1">
      <c r="A2985" s="394" t="s">
        <v>1181</v>
      </c>
    </row>
    <row r="2986" spans="1:1">
      <c r="A2986" s="473" t="s">
        <v>2399</v>
      </c>
    </row>
    <row r="2987" spans="1:1">
      <c r="A2987" s="473" t="s">
        <v>2443</v>
      </c>
    </row>
    <row r="2988" spans="1:1">
      <c r="A2988" s="473" t="s">
        <v>2727</v>
      </c>
    </row>
    <row r="2989" spans="1:1">
      <c r="A2989" s="473" t="s">
        <v>2712</v>
      </c>
    </row>
    <row r="2990" spans="1:1">
      <c r="A2990" s="473" t="s">
        <v>2728</v>
      </c>
    </row>
    <row r="2991" spans="1:1">
      <c r="A2991" s="473" t="s">
        <v>2729</v>
      </c>
    </row>
    <row r="2992" spans="1:1">
      <c r="A2992" s="473" t="s">
        <v>2730</v>
      </c>
    </row>
    <row r="2993" spans="1:1">
      <c r="A2993" s="473" t="s">
        <v>2731</v>
      </c>
    </row>
    <row r="2994" spans="1:1">
      <c r="A2994" s="394" t="s">
        <v>1182</v>
      </c>
    </row>
    <row r="2995" spans="1:1">
      <c r="A2995" s="471" t="s">
        <v>1585</v>
      </c>
    </row>
    <row r="2996" spans="1:1">
      <c r="A2996" s="471" t="s">
        <v>1586</v>
      </c>
    </row>
    <row r="2997" spans="1:1">
      <c r="A2997" s="471" t="s">
        <v>1587</v>
      </c>
    </row>
    <row r="2998" spans="1:1">
      <c r="A2998" s="394" t="s">
        <v>1186</v>
      </c>
    </row>
    <row r="2999" spans="1:1">
      <c r="A2999" s="473" t="s">
        <v>1815</v>
      </c>
    </row>
    <row r="3000" spans="1:1">
      <c r="A3000" s="473" t="s">
        <v>1722</v>
      </c>
    </row>
    <row r="3001" spans="1:1">
      <c r="A3001" s="473" t="s">
        <v>1898</v>
      </c>
    </row>
    <row r="3002" spans="1:1">
      <c r="A3002" s="473" t="s">
        <v>2327</v>
      </c>
    </row>
    <row r="3003" spans="1:1">
      <c r="A3003" s="473" t="s">
        <v>1725</v>
      </c>
    </row>
    <row r="3005" spans="1:1">
      <c r="A3005" s="395" t="s">
        <v>1187</v>
      </c>
    </row>
    <row r="3006" spans="1:1">
      <c r="A3006" s="473" t="s">
        <v>2732</v>
      </c>
    </row>
    <row r="3007" spans="1:1">
      <c r="A3007" s="473" t="s">
        <v>2733</v>
      </c>
    </row>
    <row r="3008" spans="1:1">
      <c r="A3008" s="473" t="s">
        <v>2734</v>
      </c>
    </row>
    <row r="3009" spans="1:1">
      <c r="A3009" s="473" t="s">
        <v>1874</v>
      </c>
    </row>
    <row r="3010" spans="1:1">
      <c r="A3010" s="473" t="s">
        <v>2735</v>
      </c>
    </row>
    <row r="3011" spans="1:1">
      <c r="A3011" s="473" t="s">
        <v>2736</v>
      </c>
    </row>
    <row r="3012" spans="1:1">
      <c r="A3012" s="473" t="s">
        <v>2333</v>
      </c>
    </row>
    <row r="3013" spans="1:1">
      <c r="A3013" s="473" t="s">
        <v>2737</v>
      </c>
    </row>
    <row r="3014" spans="1:1">
      <c r="A3014" s="473" t="s">
        <v>2738</v>
      </c>
    </row>
    <row r="3015" spans="1:1">
      <c r="A3015" s="473" t="s">
        <v>2074</v>
      </c>
    </row>
    <row r="3016" spans="1:1">
      <c r="A3016" s="473" t="s">
        <v>1735</v>
      </c>
    </row>
    <row r="3017" spans="1:1">
      <c r="A3017" s="473" t="s">
        <v>1860</v>
      </c>
    </row>
    <row r="3018" spans="1:1">
      <c r="A3018" s="473" t="s">
        <v>2053</v>
      </c>
    </row>
    <row r="3019" spans="1:1">
      <c r="A3019" s="473" t="s">
        <v>1588</v>
      </c>
    </row>
    <row r="3021" spans="1:1">
      <c r="A3021" s="395" t="s">
        <v>1188</v>
      </c>
    </row>
    <row r="3022" spans="1:1">
      <c r="A3022" s="473" t="s">
        <v>1840</v>
      </c>
    </row>
    <row r="3023" spans="1:1">
      <c r="A3023" s="473" t="s">
        <v>2739</v>
      </c>
    </row>
    <row r="3025" spans="1:1">
      <c r="A3025" s="472" t="s">
        <v>1589</v>
      </c>
    </row>
    <row r="3026" spans="1:1">
      <c r="A3026" s="394" t="s">
        <v>1583</v>
      </c>
    </row>
    <row r="3027" spans="1:1">
      <c r="A3027" s="472" t="s">
        <v>1590</v>
      </c>
    </row>
    <row r="3030" spans="1:1">
      <c r="A3030" s="394" t="s">
        <v>1181</v>
      </c>
    </row>
    <row r="3031" spans="1:1">
      <c r="A3031" s="473" t="s">
        <v>2662</v>
      </c>
    </row>
    <row r="3032" spans="1:1">
      <c r="A3032" s="473" t="s">
        <v>2267</v>
      </c>
    </row>
    <row r="3033" spans="1:1">
      <c r="A3033" s="473" t="s">
        <v>1764</v>
      </c>
    </row>
    <row r="3034" spans="1:1">
      <c r="A3034" s="473" t="s">
        <v>2740</v>
      </c>
    </row>
    <row r="3035" spans="1:1">
      <c r="A3035" s="473" t="s">
        <v>2741</v>
      </c>
    </row>
    <row r="3036" spans="1:1">
      <c r="A3036" s="473" t="s">
        <v>1767</v>
      </c>
    </row>
    <row r="3037" spans="1:1">
      <c r="A3037" s="473" t="s">
        <v>1719</v>
      </c>
    </row>
    <row r="3038" spans="1:1">
      <c r="A3038" s="473" t="s">
        <v>2742</v>
      </c>
    </row>
    <row r="3039" spans="1:1">
      <c r="A3039" s="394" t="s">
        <v>1182</v>
      </c>
    </row>
    <row r="3040" spans="1:1">
      <c r="A3040" s="471" t="s">
        <v>1591</v>
      </c>
    </row>
    <row r="3041" spans="1:1">
      <c r="A3041" s="471" t="s">
        <v>1592</v>
      </c>
    </row>
    <row r="3042" spans="1:1">
      <c r="A3042" s="471" t="s">
        <v>1593</v>
      </c>
    </row>
    <row r="3043" spans="1:1">
      <c r="A3043" s="394" t="s">
        <v>1186</v>
      </c>
    </row>
    <row r="3044" spans="1:1">
      <c r="A3044" s="473" t="s">
        <v>1749</v>
      </c>
    </row>
    <row r="3045" spans="1:1">
      <c r="A3045" s="473" t="s">
        <v>1848</v>
      </c>
    </row>
    <row r="3046" spans="1:1">
      <c r="A3046" s="473" t="s">
        <v>1793</v>
      </c>
    </row>
    <row r="3047" spans="1:1">
      <c r="A3047" s="473" t="s">
        <v>2743</v>
      </c>
    </row>
    <row r="3048" spans="1:1">
      <c r="A3048" s="473" t="s">
        <v>1770</v>
      </c>
    </row>
    <row r="3049" spans="1:1">
      <c r="A3049" s="473" t="s">
        <v>2744</v>
      </c>
    </row>
    <row r="3051" spans="1:1">
      <c r="A3051" s="395" t="s">
        <v>1187</v>
      </c>
    </row>
    <row r="3052" spans="1:1">
      <c r="A3052" s="473" t="s">
        <v>2745</v>
      </c>
    </row>
    <row r="3053" spans="1:1">
      <c r="A3053" s="473" t="s">
        <v>2746</v>
      </c>
    </row>
    <row r="3054" spans="1:1">
      <c r="A3054" s="473" t="s">
        <v>2747</v>
      </c>
    </row>
    <row r="3055" spans="1:1">
      <c r="A3055" s="473" t="s">
        <v>1874</v>
      </c>
    </row>
    <row r="3056" spans="1:1">
      <c r="A3056" s="473" t="s">
        <v>2748</v>
      </c>
    </row>
    <row r="3057" spans="1:1">
      <c r="A3057" s="473" t="s">
        <v>2247</v>
      </c>
    </row>
    <row r="3058" spans="1:1">
      <c r="A3058" s="473" t="s">
        <v>2749</v>
      </c>
    </row>
    <row r="3059" spans="1:1">
      <c r="A3059" s="473" t="s">
        <v>2750</v>
      </c>
    </row>
    <row r="3060" spans="1:1">
      <c r="A3060" s="473" t="s">
        <v>1759</v>
      </c>
    </row>
    <row r="3061" spans="1:1">
      <c r="A3061" s="473" t="s">
        <v>1859</v>
      </c>
    </row>
    <row r="3062" spans="1:1">
      <c r="A3062" s="473" t="s">
        <v>1779</v>
      </c>
    </row>
    <row r="3063" spans="1:1">
      <c r="A3063" s="473" t="s">
        <v>2053</v>
      </c>
    </row>
    <row r="3064" spans="1:1">
      <c r="A3064" s="473" t="s">
        <v>2751</v>
      </c>
    </row>
    <row r="3066" spans="1:1">
      <c r="A3066" s="395" t="s">
        <v>1188</v>
      </c>
    </row>
    <row r="3067" spans="1:1">
      <c r="A3067" s="473" t="s">
        <v>1840</v>
      </c>
    </row>
    <row r="3068" spans="1:1">
      <c r="A3068" s="473" t="s">
        <v>1740</v>
      </c>
    </row>
    <row r="3069" spans="1:1">
      <c r="A3069" s="473" t="s">
        <v>1841</v>
      </c>
    </row>
    <row r="3070" spans="1:1">
      <c r="A3070" s="473" t="s">
        <v>2752</v>
      </c>
    </row>
    <row r="3072" spans="1:1">
      <c r="A3072" s="472" t="s">
        <v>1594</v>
      </c>
    </row>
    <row r="3073" spans="1:1">
      <c r="A3073" s="394" t="s">
        <v>1583</v>
      </c>
    </row>
    <row r="3074" spans="1:1">
      <c r="A3074" s="472" t="s">
        <v>1595</v>
      </c>
    </row>
    <row r="3077" spans="1:1">
      <c r="A3077" s="394" t="s">
        <v>1181</v>
      </c>
    </row>
    <row r="3078" spans="1:1">
      <c r="A3078" s="473" t="s">
        <v>1842</v>
      </c>
    </row>
    <row r="3079" spans="1:1">
      <c r="A3079" s="473" t="s">
        <v>2281</v>
      </c>
    </row>
    <row r="3080" spans="1:1">
      <c r="A3080" s="473" t="s">
        <v>2753</v>
      </c>
    </row>
    <row r="3081" spans="1:1">
      <c r="A3081" s="473" t="s">
        <v>2754</v>
      </c>
    </row>
    <row r="3082" spans="1:1">
      <c r="A3082" s="473" t="s">
        <v>2755</v>
      </c>
    </row>
    <row r="3083" spans="1:1">
      <c r="A3083" s="473" t="s">
        <v>2388</v>
      </c>
    </row>
    <row r="3084" spans="1:1">
      <c r="A3084" s="473" t="s">
        <v>1719</v>
      </c>
    </row>
    <row r="3085" spans="1:1">
      <c r="A3085" s="473" t="s">
        <v>2546</v>
      </c>
    </row>
    <row r="3086" spans="1:1">
      <c r="A3086" s="394" t="s">
        <v>1182</v>
      </c>
    </row>
    <row r="3087" spans="1:1">
      <c r="A3087" s="471" t="s">
        <v>1596</v>
      </c>
    </row>
    <row r="3088" spans="1:1">
      <c r="A3088" s="471" t="s">
        <v>1597</v>
      </c>
    </row>
    <row r="3089" spans="1:1">
      <c r="A3089" s="471" t="s">
        <v>1598</v>
      </c>
    </row>
    <row r="3090" spans="1:1">
      <c r="A3090" s="394" t="s">
        <v>1186</v>
      </c>
    </row>
    <row r="3091" spans="1:1">
      <c r="A3091" s="473" t="s">
        <v>1749</v>
      </c>
    </row>
    <row r="3092" spans="1:1">
      <c r="A3092" s="473" t="s">
        <v>1722</v>
      </c>
    </row>
    <row r="3093" spans="1:1">
      <c r="A3093" s="473" t="s">
        <v>1885</v>
      </c>
    </row>
    <row r="3094" spans="1:1">
      <c r="A3094" s="473" t="s">
        <v>2756</v>
      </c>
    </row>
    <row r="3095" spans="1:1">
      <c r="A3095" s="473" t="s">
        <v>1851</v>
      </c>
    </row>
    <row r="3097" spans="1:1">
      <c r="A3097" s="395" t="s">
        <v>1187</v>
      </c>
    </row>
    <row r="3098" spans="1:1">
      <c r="A3098" s="473" t="s">
        <v>2046</v>
      </c>
    </row>
    <row r="3099" spans="1:1">
      <c r="A3099" s="473" t="s">
        <v>2757</v>
      </c>
    </row>
    <row r="3100" spans="1:1">
      <c r="A3100" s="473" t="s">
        <v>2275</v>
      </c>
    </row>
    <row r="3101" spans="1:1">
      <c r="A3101" s="473" t="s">
        <v>1874</v>
      </c>
    </row>
    <row r="3102" spans="1:1">
      <c r="A3102" s="473" t="s">
        <v>2758</v>
      </c>
    </row>
    <row r="3103" spans="1:1">
      <c r="A3103" s="473" t="s">
        <v>1837</v>
      </c>
    </row>
    <row r="3104" spans="1:1">
      <c r="A3104" s="473" t="s">
        <v>2759</v>
      </c>
    </row>
    <row r="3105" spans="1:1">
      <c r="A3105" s="473" t="s">
        <v>2760</v>
      </c>
    </row>
    <row r="3106" spans="1:1">
      <c r="A3106" s="473" t="s">
        <v>1822</v>
      </c>
    </row>
    <row r="3107" spans="1:1">
      <c r="A3107" s="473" t="s">
        <v>1735</v>
      </c>
    </row>
    <row r="3108" spans="1:1">
      <c r="A3108" s="473" t="s">
        <v>1736</v>
      </c>
    </row>
    <row r="3109" spans="1:1">
      <c r="A3109" s="473" t="s">
        <v>1780</v>
      </c>
    </row>
    <row r="3110" spans="1:1">
      <c r="A3110" s="473" t="s">
        <v>2761</v>
      </c>
    </row>
    <row r="3112" spans="1:1">
      <c r="A3112" s="395" t="s">
        <v>1188</v>
      </c>
    </row>
    <row r="3113" spans="1:1">
      <c r="A3113" s="473" t="s">
        <v>1840</v>
      </c>
    </row>
    <row r="3114" spans="1:1">
      <c r="A3114" s="473" t="s">
        <v>1740</v>
      </c>
    </row>
    <row r="3115" spans="1:1">
      <c r="A3115" s="473" t="s">
        <v>1841</v>
      </c>
    </row>
    <row r="3117" spans="1:1">
      <c r="A3117" s="472" t="s">
        <v>1599</v>
      </c>
    </row>
    <row r="3118" spans="1:1">
      <c r="A3118" s="394" t="s">
        <v>1583</v>
      </c>
    </row>
    <row r="3119" spans="1:1">
      <c r="A3119" s="472" t="s">
        <v>1600</v>
      </c>
    </row>
    <row r="3120" spans="1:1">
      <c r="A3120" s="472" t="s">
        <v>1599</v>
      </c>
    </row>
    <row r="3121" spans="1:1">
      <c r="A3121" s="472" t="s">
        <v>1601</v>
      </c>
    </row>
    <row r="3122" spans="1:1">
      <c r="A3122" s="472" t="s">
        <v>1602</v>
      </c>
    </row>
    <row r="3123" spans="1:1">
      <c r="A3123" s="472" t="s">
        <v>1603</v>
      </c>
    </row>
    <row r="3124" spans="1:1">
      <c r="A3124" s="472" t="s">
        <v>1604</v>
      </c>
    </row>
    <row r="3125" spans="1:1">
      <c r="A3125" s="471" t="s">
        <v>1605</v>
      </c>
    </row>
    <row r="3126" spans="1:1">
      <c r="A3126" s="471" t="s">
        <v>1606</v>
      </c>
    </row>
    <row r="3129" spans="1:1">
      <c r="A3129" s="394" t="s">
        <v>1181</v>
      </c>
    </row>
    <row r="3130" spans="1:1">
      <c r="A3130" s="473" t="s">
        <v>1742</v>
      </c>
    </row>
    <row r="3131" spans="1:1">
      <c r="A3131" s="473" t="s">
        <v>2542</v>
      </c>
    </row>
    <row r="3132" spans="1:1">
      <c r="A3132" s="473" t="s">
        <v>2058</v>
      </c>
    </row>
    <row r="3133" spans="1:1">
      <c r="A3133" s="473" t="s">
        <v>1865</v>
      </c>
    </row>
    <row r="3134" spans="1:1">
      <c r="A3134" s="473" t="s">
        <v>2762</v>
      </c>
    </row>
    <row r="3135" spans="1:1">
      <c r="A3135" s="473" t="s">
        <v>2763</v>
      </c>
    </row>
    <row r="3136" spans="1:1">
      <c r="A3136" s="473" t="s">
        <v>1719</v>
      </c>
    </row>
    <row r="3137" spans="1:1">
      <c r="A3137" s="473" t="s">
        <v>2764</v>
      </c>
    </row>
    <row r="3138" spans="1:1">
      <c r="A3138" s="394" t="s">
        <v>1182</v>
      </c>
    </row>
    <row r="3139" spans="1:1">
      <c r="A3139" s="471" t="s">
        <v>1607</v>
      </c>
    </row>
    <row r="3140" spans="1:1">
      <c r="A3140" s="471" t="s">
        <v>1608</v>
      </c>
    </row>
    <row r="3141" spans="1:1">
      <c r="A3141" s="471" t="s">
        <v>1609</v>
      </c>
    </row>
    <row r="3142" spans="1:1">
      <c r="A3142" s="394" t="s">
        <v>1186</v>
      </c>
    </row>
    <row r="3143" spans="1:1">
      <c r="A3143" s="473" t="s">
        <v>1749</v>
      </c>
    </row>
    <row r="3144" spans="1:1">
      <c r="A3144" s="473" t="s">
        <v>1722</v>
      </c>
    </row>
    <row r="3145" spans="1:1">
      <c r="A3145" s="473" t="s">
        <v>1793</v>
      </c>
    </row>
    <row r="3146" spans="1:1">
      <c r="A3146" s="473" t="s">
        <v>2765</v>
      </c>
    </row>
    <row r="3147" spans="1:1">
      <c r="A3147" s="473" t="s">
        <v>1851</v>
      </c>
    </row>
    <row r="3149" spans="1:1">
      <c r="A3149" s="395" t="s">
        <v>1187</v>
      </c>
    </row>
    <row r="3150" spans="1:1">
      <c r="A3150" s="473" t="s">
        <v>2766</v>
      </c>
    </row>
    <row r="3151" spans="1:1">
      <c r="A3151" s="473" t="s">
        <v>2767</v>
      </c>
    </row>
    <row r="3152" spans="1:1">
      <c r="A3152" s="473" t="s">
        <v>2245</v>
      </c>
    </row>
    <row r="3153" spans="1:1">
      <c r="A3153" s="473" t="s">
        <v>1874</v>
      </c>
    </row>
    <row r="3154" spans="1:1">
      <c r="A3154" s="473" t="s">
        <v>2768</v>
      </c>
    </row>
    <row r="3155" spans="1:1">
      <c r="A3155" s="473" t="s">
        <v>1837</v>
      </c>
    </row>
    <row r="3156" spans="1:1">
      <c r="A3156" s="473" t="s">
        <v>2769</v>
      </c>
    </row>
    <row r="3157" spans="1:1">
      <c r="A3157" s="473" t="s">
        <v>2760</v>
      </c>
    </row>
    <row r="3158" spans="1:1">
      <c r="A3158" s="473" t="s">
        <v>1822</v>
      </c>
    </row>
    <row r="3159" spans="1:1">
      <c r="A3159" s="473" t="s">
        <v>1735</v>
      </c>
    </row>
    <row r="3160" spans="1:1">
      <c r="A3160" s="473" t="s">
        <v>1736</v>
      </c>
    </row>
    <row r="3161" spans="1:1">
      <c r="A3161" s="473" t="s">
        <v>1780</v>
      </c>
    </row>
    <row r="3162" spans="1:1">
      <c r="A3162" s="473" t="s">
        <v>1738</v>
      </c>
    </row>
    <row r="3164" spans="1:1">
      <c r="A3164" s="395" t="s">
        <v>1188</v>
      </c>
    </row>
    <row r="3165" spans="1:1">
      <c r="A3165" s="473" t="s">
        <v>1840</v>
      </c>
    </row>
    <row r="3166" spans="1:1">
      <c r="A3166" s="473" t="s">
        <v>1782</v>
      </c>
    </row>
    <row r="3167" spans="1:1">
      <c r="A3167" s="473" t="s">
        <v>1841</v>
      </c>
    </row>
    <row r="3169" spans="1:1">
      <c r="A3169" s="472" t="s">
        <v>1610</v>
      </c>
    </row>
    <row r="3170" spans="1:1">
      <c r="A3170" s="394" t="s">
        <v>1583</v>
      </c>
    </row>
    <row r="3171" spans="1:1">
      <c r="A3171" s="472" t="s">
        <v>1611</v>
      </c>
    </row>
    <row r="3172" spans="1:1">
      <c r="A3172" s="472" t="s">
        <v>1612</v>
      </c>
    </row>
    <row r="3173" spans="1:1">
      <c r="A3173" s="472" t="s">
        <v>1613</v>
      </c>
    </row>
    <row r="3174" spans="1:1">
      <c r="A3174" s="472" t="s">
        <v>1614</v>
      </c>
    </row>
    <row r="3175" spans="1:1">
      <c r="A3175" s="472" t="s">
        <v>1615</v>
      </c>
    </row>
    <row r="3176" spans="1:1">
      <c r="A3176" s="472" t="s">
        <v>1616</v>
      </c>
    </row>
    <row r="3177" spans="1:1">
      <c r="A3177" s="471" t="s">
        <v>1617</v>
      </c>
    </row>
    <row r="3178" spans="1:1">
      <c r="A3178" s="471" t="s">
        <v>1618</v>
      </c>
    </row>
    <row r="3181" spans="1:1">
      <c r="A3181" s="394" t="s">
        <v>1181</v>
      </c>
    </row>
    <row r="3182" spans="1:1">
      <c r="A3182" s="473" t="s">
        <v>2770</v>
      </c>
    </row>
    <row r="3183" spans="1:1">
      <c r="A3183" s="473" t="s">
        <v>1785</v>
      </c>
    </row>
    <row r="3184" spans="1:1">
      <c r="A3184" s="473" t="s">
        <v>2771</v>
      </c>
    </row>
    <row r="3185" spans="1:1">
      <c r="A3185" s="473" t="s">
        <v>2461</v>
      </c>
    </row>
    <row r="3186" spans="1:1">
      <c r="A3186" s="473" t="s">
        <v>2772</v>
      </c>
    </row>
    <row r="3187" spans="1:1">
      <c r="A3187" s="473" t="s">
        <v>2773</v>
      </c>
    </row>
    <row r="3188" spans="1:1">
      <c r="A3188" s="473" t="s">
        <v>1719</v>
      </c>
    </row>
    <row r="3189" spans="1:1">
      <c r="A3189" s="473" t="s">
        <v>2774</v>
      </c>
    </row>
    <row r="3190" spans="1:1">
      <c r="A3190" s="394" t="s">
        <v>1182</v>
      </c>
    </row>
    <row r="3191" spans="1:1">
      <c r="A3191" s="471" t="s">
        <v>1619</v>
      </c>
    </row>
    <row r="3192" spans="1:1">
      <c r="A3192" s="471" t="s">
        <v>1620</v>
      </c>
    </row>
    <row r="3193" spans="1:1">
      <c r="A3193" s="471" t="s">
        <v>1621</v>
      </c>
    </row>
    <row r="3194" spans="1:1">
      <c r="A3194" s="394" t="s">
        <v>1186</v>
      </c>
    </row>
    <row r="3195" spans="1:1">
      <c r="A3195" s="473" t="s">
        <v>1941</v>
      </c>
    </row>
    <row r="3196" spans="1:1">
      <c r="A3196" s="473" t="s">
        <v>1722</v>
      </c>
    </row>
    <row r="3197" spans="1:1">
      <c r="A3197" s="473" t="s">
        <v>1869</v>
      </c>
    </row>
    <row r="3198" spans="1:1">
      <c r="A3198" s="473" t="s">
        <v>2065</v>
      </c>
    </row>
    <row r="3199" spans="1:1">
      <c r="A3199" s="473" t="s">
        <v>1851</v>
      </c>
    </row>
    <row r="3201" spans="1:1">
      <c r="A3201" s="395" t="s">
        <v>1187</v>
      </c>
    </row>
    <row r="3202" spans="1:1">
      <c r="A3202" s="473" t="s">
        <v>1833</v>
      </c>
    </row>
    <row r="3203" spans="1:1">
      <c r="A3203" s="473" t="s">
        <v>2746</v>
      </c>
    </row>
    <row r="3204" spans="1:1">
      <c r="A3204" s="473" t="s">
        <v>2747</v>
      </c>
    </row>
    <row r="3205" spans="1:1">
      <c r="A3205" s="473" t="s">
        <v>1874</v>
      </c>
    </row>
    <row r="3206" spans="1:1">
      <c r="A3206" s="473" t="s">
        <v>2775</v>
      </c>
    </row>
    <row r="3207" spans="1:1">
      <c r="A3207" s="473" t="s">
        <v>1837</v>
      </c>
    </row>
    <row r="3208" spans="1:1">
      <c r="A3208" s="473" t="s">
        <v>2776</v>
      </c>
    </row>
    <row r="3209" spans="1:1">
      <c r="A3209" s="473" t="s">
        <v>2249</v>
      </c>
    </row>
    <row r="3210" spans="1:1">
      <c r="A3210" s="473" t="s">
        <v>1759</v>
      </c>
    </row>
    <row r="3211" spans="1:1">
      <c r="A3211" s="473" t="s">
        <v>1735</v>
      </c>
    </row>
    <row r="3212" spans="1:1">
      <c r="A3212" s="473" t="s">
        <v>1779</v>
      </c>
    </row>
    <row r="3213" spans="1:1">
      <c r="A3213" s="473" t="s">
        <v>2053</v>
      </c>
    </row>
    <row r="3214" spans="1:1">
      <c r="A3214" s="473" t="s">
        <v>1738</v>
      </c>
    </row>
    <row r="3216" spans="1:1">
      <c r="A3216" s="395" t="s">
        <v>1188</v>
      </c>
    </row>
    <row r="3217" spans="1:1">
      <c r="A3217" s="473" t="s">
        <v>1840</v>
      </c>
    </row>
    <row r="3218" spans="1:1">
      <c r="A3218" s="473" t="s">
        <v>1740</v>
      </c>
    </row>
    <row r="3219" spans="1:1">
      <c r="A3219" s="473" t="s">
        <v>2335</v>
      </c>
    </row>
    <row r="3220" spans="1:1">
      <c r="A3220" s="473" t="s">
        <v>2777</v>
      </c>
    </row>
    <row r="3222" spans="1:1">
      <c r="A3222" s="472" t="s">
        <v>1622</v>
      </c>
    </row>
    <row r="3223" spans="1:1">
      <c r="A3223" s="394" t="s">
        <v>1623</v>
      </c>
    </row>
    <row r="3224" spans="1:1">
      <c r="A3224" s="472" t="s">
        <v>1624</v>
      </c>
    </row>
    <row r="3227" spans="1:1">
      <c r="A3227" s="394" t="s">
        <v>1181</v>
      </c>
    </row>
    <row r="3228" spans="1:1">
      <c r="A3228" s="473" t="s">
        <v>2778</v>
      </c>
    </row>
    <row r="3229" spans="1:1">
      <c r="A3229" s="473" t="s">
        <v>1716</v>
      </c>
    </row>
    <row r="3230" spans="1:1">
      <c r="A3230" s="473" t="s">
        <v>1954</v>
      </c>
    </row>
    <row r="3231" spans="1:1">
      <c r="A3231" s="473" t="s">
        <v>1955</v>
      </c>
    </row>
    <row r="3232" spans="1:1">
      <c r="A3232" s="473" t="s">
        <v>2779</v>
      </c>
    </row>
    <row r="3233" spans="1:1">
      <c r="A3233" s="473" t="s">
        <v>2780</v>
      </c>
    </row>
    <row r="3234" spans="1:1">
      <c r="A3234" s="473" t="s">
        <v>1719</v>
      </c>
    </row>
    <row r="3235" spans="1:1">
      <c r="A3235" s="473" t="s">
        <v>2781</v>
      </c>
    </row>
    <row r="3236" spans="1:1">
      <c r="A3236" s="394" t="s">
        <v>1182</v>
      </c>
    </row>
    <row r="3237" spans="1:1">
      <c r="A3237" s="471" t="s">
        <v>1625</v>
      </c>
    </row>
    <row r="3238" spans="1:1">
      <c r="A3238" s="471" t="s">
        <v>1626</v>
      </c>
    </row>
    <row r="3239" spans="1:1">
      <c r="A3239" s="471" t="s">
        <v>1627</v>
      </c>
    </row>
    <row r="3240" spans="1:1">
      <c r="A3240" s="394" t="s">
        <v>1186</v>
      </c>
    </row>
    <row r="3241" spans="1:1">
      <c r="A3241" s="473" t="s">
        <v>1721</v>
      </c>
    </row>
    <row r="3242" spans="1:1">
      <c r="A3242" s="473" t="s">
        <v>1848</v>
      </c>
    </row>
    <row r="3243" spans="1:1">
      <c r="A3243" s="473" t="s">
        <v>2433</v>
      </c>
    </row>
    <row r="3244" spans="1:1">
      <c r="A3244" s="473" t="s">
        <v>2464</v>
      </c>
    </row>
    <row r="3245" spans="1:1">
      <c r="A3245" s="473" t="s">
        <v>1725</v>
      </c>
    </row>
    <row r="3247" spans="1:1">
      <c r="A3247" s="395" t="s">
        <v>1187</v>
      </c>
    </row>
    <row r="3248" spans="1:1">
      <c r="A3248" s="473" t="s">
        <v>2782</v>
      </c>
    </row>
    <row r="3249" spans="1:1">
      <c r="A3249" s="473" t="s">
        <v>2783</v>
      </c>
    </row>
    <row r="3250" spans="1:1">
      <c r="A3250" s="473" t="s">
        <v>2784</v>
      </c>
    </row>
    <row r="3251" spans="1:1">
      <c r="A3251" s="473" t="s">
        <v>1729</v>
      </c>
    </row>
    <row r="3252" spans="1:1">
      <c r="A3252" s="473" t="s">
        <v>2785</v>
      </c>
    </row>
    <row r="3253" spans="1:1">
      <c r="A3253" s="473" t="s">
        <v>1980</v>
      </c>
    </row>
    <row r="3254" spans="1:1">
      <c r="A3254" s="473" t="s">
        <v>2786</v>
      </c>
    </row>
    <row r="3255" spans="1:1">
      <c r="A3255" s="473" t="s">
        <v>2154</v>
      </c>
    </row>
    <row r="3256" spans="1:1">
      <c r="A3256" s="473" t="s">
        <v>1759</v>
      </c>
    </row>
    <row r="3257" spans="1:1">
      <c r="A3257" s="473" t="s">
        <v>1859</v>
      </c>
    </row>
    <row r="3258" spans="1:1">
      <c r="A3258" s="473" t="s">
        <v>1967</v>
      </c>
    </row>
    <row r="3259" spans="1:1">
      <c r="A3259" s="473" t="s">
        <v>1806</v>
      </c>
    </row>
    <row r="3260" spans="1:1">
      <c r="A3260" s="473" t="s">
        <v>1738</v>
      </c>
    </row>
    <row r="3262" spans="1:1">
      <c r="A3262" s="395" t="s">
        <v>1188</v>
      </c>
    </row>
    <row r="3263" spans="1:1">
      <c r="A3263" s="473" t="s">
        <v>1739</v>
      </c>
    </row>
    <row r="3264" spans="1:1">
      <c r="A3264" s="473" t="s">
        <v>1740</v>
      </c>
    </row>
    <row r="3265" spans="1:1">
      <c r="A3265" s="473" t="s">
        <v>2055</v>
      </c>
    </row>
    <row r="3267" spans="1:1">
      <c r="A3267" s="472" t="s">
        <v>1628</v>
      </c>
    </row>
    <row r="3268" spans="1:1">
      <c r="A3268" s="394" t="s">
        <v>1623</v>
      </c>
    </row>
    <row r="3269" spans="1:1">
      <c r="A3269" s="472" t="s">
        <v>1629</v>
      </c>
    </row>
    <row r="3272" spans="1:1">
      <c r="A3272" s="394" t="s">
        <v>1181</v>
      </c>
    </row>
    <row r="3273" spans="1:1">
      <c r="A3273" s="473" t="s">
        <v>2637</v>
      </c>
    </row>
    <row r="3274" spans="1:1">
      <c r="A3274" s="473" t="s">
        <v>2638</v>
      </c>
    </row>
    <row r="3275" spans="1:1">
      <c r="A3275" s="473" t="s">
        <v>2639</v>
      </c>
    </row>
    <row r="3276" spans="1:1">
      <c r="A3276" s="473" t="s">
        <v>2640</v>
      </c>
    </row>
    <row r="3277" spans="1:1">
      <c r="A3277" s="473" t="s">
        <v>2641</v>
      </c>
    </row>
    <row r="3278" spans="1:1">
      <c r="A3278" s="473" t="s">
        <v>2642</v>
      </c>
    </row>
    <row r="3279" spans="1:1">
      <c r="A3279" s="473" t="s">
        <v>2476</v>
      </c>
    </row>
    <row r="3280" spans="1:1">
      <c r="A3280" s="473" t="s">
        <v>2643</v>
      </c>
    </row>
    <row r="3281" spans="1:1">
      <c r="A3281" s="394" t="s">
        <v>1182</v>
      </c>
    </row>
    <row r="3282" spans="1:1">
      <c r="A3282" s="471" t="s">
        <v>1630</v>
      </c>
    </row>
    <row r="3283" spans="1:1">
      <c r="A3283" s="471" t="s">
        <v>1631</v>
      </c>
    </row>
    <row r="3284" spans="1:1">
      <c r="A3284" s="471" t="s">
        <v>1632</v>
      </c>
    </row>
    <row r="3285" spans="1:1">
      <c r="A3285" s="394" t="s">
        <v>1186</v>
      </c>
    </row>
    <row r="3286" spans="1:1">
      <c r="A3286" s="473" t="s">
        <v>2477</v>
      </c>
    </row>
    <row r="3287" spans="1:1">
      <c r="A3287" s="473" t="s">
        <v>2478</v>
      </c>
    </row>
    <row r="3288" spans="1:1">
      <c r="A3288" s="473" t="s">
        <v>2479</v>
      </c>
    </row>
    <row r="3289" spans="1:1">
      <c r="A3289" s="473" t="s">
        <v>2787</v>
      </c>
    </row>
    <row r="3290" spans="1:1">
      <c r="A3290" s="473" t="s">
        <v>2645</v>
      </c>
    </row>
    <row r="3291" spans="1:1">
      <c r="A3291" s="473" t="s">
        <v>2482</v>
      </c>
    </row>
    <row r="3293" spans="1:1">
      <c r="A3293" s="395" t="s">
        <v>1187</v>
      </c>
    </row>
    <row r="3294" spans="1:1">
      <c r="A3294" s="473" t="s">
        <v>2788</v>
      </c>
    </row>
    <row r="3295" spans="1:1">
      <c r="A3295" s="473" t="s">
        <v>2657</v>
      </c>
    </row>
    <row r="3296" spans="1:1">
      <c r="A3296" s="473" t="s">
        <v>2789</v>
      </c>
    </row>
    <row r="3297" spans="1:1">
      <c r="A3297" s="473" t="s">
        <v>1729</v>
      </c>
    </row>
    <row r="3298" spans="1:1">
      <c r="A3298" s="473" t="s">
        <v>2790</v>
      </c>
    </row>
    <row r="3299" spans="1:1">
      <c r="A3299" s="473" t="s">
        <v>1980</v>
      </c>
    </row>
    <row r="3300" spans="1:1">
      <c r="A3300" s="473" t="s">
        <v>2650</v>
      </c>
    </row>
    <row r="3301" spans="1:1">
      <c r="A3301" s="473" t="s">
        <v>2154</v>
      </c>
    </row>
    <row r="3302" spans="1:1">
      <c r="A3302" s="473" t="s">
        <v>2791</v>
      </c>
    </row>
    <row r="3303" spans="1:1">
      <c r="A3303" s="473" t="s">
        <v>1918</v>
      </c>
    </row>
    <row r="3304" spans="1:1">
      <c r="A3304" s="473" t="s">
        <v>2457</v>
      </c>
    </row>
    <row r="3305" spans="1:1">
      <c r="A3305" s="473" t="s">
        <v>2052</v>
      </c>
    </row>
    <row r="3306" spans="1:1">
      <c r="A3306" s="473" t="s">
        <v>1806</v>
      </c>
    </row>
    <row r="3307" spans="1:1">
      <c r="A3307" s="473" t="s">
        <v>1738</v>
      </c>
    </row>
    <row r="3309" spans="1:1">
      <c r="A3309" s="395" t="s">
        <v>1188</v>
      </c>
    </row>
    <row r="3310" spans="1:1">
      <c r="A3310" s="473" t="s">
        <v>2792</v>
      </c>
    </row>
    <row r="3311" spans="1:1">
      <c r="A3311" s="473" t="s">
        <v>2054</v>
      </c>
    </row>
    <row r="3312" spans="1:1">
      <c r="A3312" s="473" t="s">
        <v>2055</v>
      </c>
    </row>
    <row r="3314" spans="1:1">
      <c r="A3314" s="472" t="s">
        <v>1633</v>
      </c>
    </row>
    <row r="3315" spans="1:1">
      <c r="A3315" s="394" t="s">
        <v>1623</v>
      </c>
    </row>
    <row r="3316" spans="1:1">
      <c r="A3316" s="472" t="s">
        <v>1634</v>
      </c>
    </row>
    <row r="3317" spans="1:1">
      <c r="A3317" s="472" t="s">
        <v>1633</v>
      </c>
    </row>
    <row r="3318" spans="1:1">
      <c r="A3318" s="472" t="s">
        <v>1635</v>
      </c>
    </row>
    <row r="3319" spans="1:1">
      <c r="A3319" s="472" t="s">
        <v>1636</v>
      </c>
    </row>
    <row r="3320" spans="1:1">
      <c r="A3320" s="472" t="s">
        <v>1637</v>
      </c>
    </row>
    <row r="3321" spans="1:1">
      <c r="A3321" s="472" t="s">
        <v>1638</v>
      </c>
    </row>
    <row r="3322" spans="1:1">
      <c r="A3322" s="472" t="s">
        <v>1639</v>
      </c>
    </row>
    <row r="3323" spans="1:1">
      <c r="A3323" s="471" t="s">
        <v>1640</v>
      </c>
    </row>
    <row r="3324" spans="1:1">
      <c r="A3324" s="471" t="s">
        <v>1641</v>
      </c>
    </row>
    <row r="3327" spans="1:1">
      <c r="A3327" s="394" t="s">
        <v>1181</v>
      </c>
    </row>
    <row r="3328" spans="1:1">
      <c r="A3328" s="473" t="s">
        <v>2793</v>
      </c>
    </row>
    <row r="3329" spans="1:1">
      <c r="A3329" s="473" t="s">
        <v>2794</v>
      </c>
    </row>
    <row r="3330" spans="1:1">
      <c r="A3330" s="473" t="s">
        <v>2795</v>
      </c>
    </row>
    <row r="3331" spans="1:1">
      <c r="A3331" s="473" t="s">
        <v>2796</v>
      </c>
    </row>
    <row r="3332" spans="1:1">
      <c r="A3332" s="473" t="s">
        <v>2797</v>
      </c>
    </row>
    <row r="3333" spans="1:1">
      <c r="A3333" s="473" t="s">
        <v>2798</v>
      </c>
    </row>
    <row r="3334" spans="1:1">
      <c r="A3334" s="473" t="s">
        <v>2476</v>
      </c>
    </row>
    <row r="3335" spans="1:1">
      <c r="A3335" s="473" t="s">
        <v>2799</v>
      </c>
    </row>
    <row r="3336" spans="1:1">
      <c r="A3336" s="394" t="s">
        <v>1182</v>
      </c>
    </row>
    <row r="3337" spans="1:1">
      <c r="A3337" s="471" t="s">
        <v>1642</v>
      </c>
    </row>
    <row r="3338" spans="1:1">
      <c r="A3338" s="471" t="s">
        <v>1643</v>
      </c>
    </row>
    <row r="3339" spans="1:1">
      <c r="A3339" s="471" t="s">
        <v>1644</v>
      </c>
    </row>
    <row r="3340" spans="1:1">
      <c r="A3340" s="394" t="s">
        <v>1186</v>
      </c>
    </row>
    <row r="3341" spans="1:1">
      <c r="A3341" s="473" t="s">
        <v>2477</v>
      </c>
    </row>
    <row r="3342" spans="1:1">
      <c r="A3342" s="473" t="s">
        <v>2478</v>
      </c>
    </row>
    <row r="3343" spans="1:1">
      <c r="A3343" s="473" t="s">
        <v>2800</v>
      </c>
    </row>
    <row r="3344" spans="1:1">
      <c r="A3344" s="473" t="s">
        <v>2801</v>
      </c>
    </row>
    <row r="3345" spans="1:1">
      <c r="A3345" s="473" t="s">
        <v>2482</v>
      </c>
    </row>
    <row r="3347" spans="1:1">
      <c r="A3347" s="395" t="s">
        <v>1187</v>
      </c>
    </row>
    <row r="3348" spans="1:1">
      <c r="A3348" s="473" t="s">
        <v>2802</v>
      </c>
    </row>
    <row r="3349" spans="1:1">
      <c r="A3349" s="473" t="s">
        <v>2803</v>
      </c>
    </row>
    <row r="3350" spans="1:1">
      <c r="A3350" s="473" t="s">
        <v>2804</v>
      </c>
    </row>
    <row r="3351" spans="1:1">
      <c r="A3351" s="473" t="s">
        <v>2033</v>
      </c>
    </row>
    <row r="3352" spans="1:1">
      <c r="A3352" s="473" t="s">
        <v>2805</v>
      </c>
    </row>
    <row r="3353" spans="1:1">
      <c r="A3353" s="473" t="s">
        <v>1980</v>
      </c>
    </row>
    <row r="3354" spans="1:1">
      <c r="A3354" s="473" t="s">
        <v>2806</v>
      </c>
    </row>
    <row r="3355" spans="1:1">
      <c r="A3355" s="473" t="s">
        <v>2154</v>
      </c>
    </row>
    <row r="3356" spans="1:1">
      <c r="A3356" s="473" t="s">
        <v>2807</v>
      </c>
    </row>
    <row r="3357" spans="1:1">
      <c r="A3357" s="473" t="s">
        <v>1918</v>
      </c>
    </row>
    <row r="3358" spans="1:1">
      <c r="A3358" s="473" t="s">
        <v>2457</v>
      </c>
    </row>
    <row r="3359" spans="1:1">
      <c r="A3359" s="473" t="s">
        <v>2052</v>
      </c>
    </row>
    <row r="3360" spans="1:1">
      <c r="A3360" s="473" t="s">
        <v>1806</v>
      </c>
    </row>
    <row r="3361" spans="1:1">
      <c r="A3361" s="473" t="s">
        <v>1738</v>
      </c>
    </row>
    <row r="3363" spans="1:1">
      <c r="A3363" s="395" t="s">
        <v>1188</v>
      </c>
    </row>
    <row r="3364" spans="1:1">
      <c r="A3364" s="473" t="s">
        <v>1781</v>
      </c>
    </row>
    <row r="3365" spans="1:1">
      <c r="A3365" s="473" t="s">
        <v>2659</v>
      </c>
    </row>
    <row r="3366" spans="1:1">
      <c r="A3366" s="473" t="s">
        <v>2692</v>
      </c>
    </row>
    <row r="3368" spans="1:1">
      <c r="A3368" s="472" t="s">
        <v>1645</v>
      </c>
    </row>
    <row r="3369" spans="1:1">
      <c r="A3369" s="394" t="s">
        <v>1623</v>
      </c>
    </row>
    <row r="3370" spans="1:1">
      <c r="A3370" s="472" t="s">
        <v>1646</v>
      </c>
    </row>
    <row r="3371" spans="1:1">
      <c r="A3371" s="472" t="s">
        <v>1645</v>
      </c>
    </row>
    <row r="3372" spans="1:1">
      <c r="A3372" s="472" t="s">
        <v>1647</v>
      </c>
    </row>
    <row r="3373" spans="1:1">
      <c r="A3373" s="472" t="s">
        <v>1648</v>
      </c>
    </row>
    <row r="3374" spans="1:1">
      <c r="A3374" s="472" t="s">
        <v>1649</v>
      </c>
    </row>
    <row r="3375" spans="1:1">
      <c r="A3375" s="472" t="s">
        <v>1650</v>
      </c>
    </row>
    <row r="3376" spans="1:1">
      <c r="A3376" s="471" t="s">
        <v>1651</v>
      </c>
    </row>
    <row r="3377" spans="1:1">
      <c r="A3377" s="471" t="s">
        <v>1652</v>
      </c>
    </row>
    <row r="3380" spans="1:1">
      <c r="A3380" s="394" t="s">
        <v>1181</v>
      </c>
    </row>
    <row r="3381" spans="1:1">
      <c r="A3381" s="473" t="s">
        <v>2793</v>
      </c>
    </row>
    <row r="3382" spans="1:1">
      <c r="A3382" s="473" t="s">
        <v>2794</v>
      </c>
    </row>
    <row r="3383" spans="1:1">
      <c r="A3383" s="473" t="s">
        <v>2795</v>
      </c>
    </row>
    <row r="3384" spans="1:1">
      <c r="A3384" s="473" t="s">
        <v>2808</v>
      </c>
    </row>
    <row r="3385" spans="1:1">
      <c r="A3385" s="473" t="s">
        <v>2809</v>
      </c>
    </row>
    <row r="3386" spans="1:1">
      <c r="A3386" s="473" t="s">
        <v>2810</v>
      </c>
    </row>
    <row r="3387" spans="1:1">
      <c r="A3387" s="473" t="s">
        <v>2476</v>
      </c>
    </row>
    <row r="3388" spans="1:1">
      <c r="A3388" s="473" t="s">
        <v>2799</v>
      </c>
    </row>
    <row r="3389" spans="1:1">
      <c r="A3389" s="394" t="s">
        <v>1182</v>
      </c>
    </row>
    <row r="3390" spans="1:1">
      <c r="A3390" s="471" t="s">
        <v>1653</v>
      </c>
    </row>
    <row r="3391" spans="1:1">
      <c r="A3391" s="471" t="s">
        <v>1654</v>
      </c>
    </row>
    <row r="3392" spans="1:1">
      <c r="A3392" s="471" t="s">
        <v>1655</v>
      </c>
    </row>
    <row r="3393" spans="1:1">
      <c r="A3393" s="394" t="s">
        <v>1186</v>
      </c>
    </row>
    <row r="3394" spans="1:1">
      <c r="A3394" s="473" t="s">
        <v>2477</v>
      </c>
    </row>
    <row r="3395" spans="1:1">
      <c r="A3395" s="473" t="s">
        <v>2478</v>
      </c>
    </row>
    <row r="3396" spans="1:1">
      <c r="A3396" s="473" t="s">
        <v>2800</v>
      </c>
    </row>
    <row r="3397" spans="1:1">
      <c r="A3397" s="473" t="s">
        <v>2811</v>
      </c>
    </row>
    <row r="3398" spans="1:1">
      <c r="A3398" s="473" t="s">
        <v>2812</v>
      </c>
    </row>
    <row r="3399" spans="1:1">
      <c r="A3399" s="473" t="s">
        <v>2482</v>
      </c>
    </row>
    <row r="3401" spans="1:1">
      <c r="A3401" s="395" t="s">
        <v>1187</v>
      </c>
    </row>
    <row r="3402" spans="1:1">
      <c r="A3402" s="473" t="s">
        <v>2813</v>
      </c>
    </row>
    <row r="3403" spans="1:1">
      <c r="A3403" s="473" t="s">
        <v>2814</v>
      </c>
    </row>
    <row r="3404" spans="1:1">
      <c r="A3404" s="473" t="s">
        <v>2815</v>
      </c>
    </row>
    <row r="3405" spans="1:1">
      <c r="A3405" s="473" t="s">
        <v>1799</v>
      </c>
    </row>
    <row r="3406" spans="1:1">
      <c r="A3406" s="473" t="s">
        <v>2816</v>
      </c>
    </row>
    <row r="3407" spans="1:1">
      <c r="A3407" s="473" t="s">
        <v>1980</v>
      </c>
    </row>
    <row r="3408" spans="1:1">
      <c r="A3408" s="473" t="s">
        <v>2817</v>
      </c>
    </row>
    <row r="3409" spans="1:1">
      <c r="A3409" s="473" t="s">
        <v>2154</v>
      </c>
    </row>
    <row r="3410" spans="1:1">
      <c r="A3410" s="473" t="s">
        <v>2818</v>
      </c>
    </row>
    <row r="3411" spans="1:1">
      <c r="A3411" s="473" t="s">
        <v>1918</v>
      </c>
    </row>
    <row r="3412" spans="1:1">
      <c r="A3412" s="473" t="s">
        <v>2457</v>
      </c>
    </row>
    <row r="3413" spans="1:1">
      <c r="A3413" s="473" t="s">
        <v>2052</v>
      </c>
    </row>
    <row r="3414" spans="1:1">
      <c r="A3414" s="473" t="s">
        <v>1806</v>
      </c>
    </row>
    <row r="3415" spans="1:1">
      <c r="A3415" s="473" t="s">
        <v>1738</v>
      </c>
    </row>
    <row r="3417" spans="1:1">
      <c r="A3417" s="395" t="s">
        <v>1188</v>
      </c>
    </row>
    <row r="3418" spans="1:1">
      <c r="A3418" s="473" t="s">
        <v>1781</v>
      </c>
    </row>
    <row r="3419" spans="1:1">
      <c r="A3419" s="473" t="s">
        <v>2659</v>
      </c>
    </row>
    <row r="3420" spans="1:1">
      <c r="A3420" s="473" t="s">
        <v>2692</v>
      </c>
    </row>
    <row r="3422" spans="1:1">
      <c r="A3422" s="472" t="s">
        <v>1656</v>
      </c>
    </row>
    <row r="3423" spans="1:1">
      <c r="A3423" s="394" t="s">
        <v>1623</v>
      </c>
    </row>
    <row r="3424" spans="1:1">
      <c r="A3424" s="472" t="s">
        <v>1657</v>
      </c>
    </row>
    <row r="3427" spans="1:1">
      <c r="A3427" s="394" t="s">
        <v>1181</v>
      </c>
    </row>
    <row r="3428" spans="1:1">
      <c r="A3428" s="473" t="s">
        <v>2793</v>
      </c>
    </row>
    <row r="3429" spans="1:1">
      <c r="A3429" s="473" t="s">
        <v>2794</v>
      </c>
    </row>
    <row r="3430" spans="1:1">
      <c r="A3430" s="473" t="s">
        <v>2819</v>
      </c>
    </row>
    <row r="3431" spans="1:1">
      <c r="A3431" s="473" t="s">
        <v>2820</v>
      </c>
    </row>
    <row r="3432" spans="1:1">
      <c r="A3432" s="473" t="s">
        <v>2821</v>
      </c>
    </row>
    <row r="3433" spans="1:1">
      <c r="A3433" s="473" t="s">
        <v>2822</v>
      </c>
    </row>
    <row r="3434" spans="1:1">
      <c r="A3434" s="473" t="s">
        <v>2476</v>
      </c>
    </row>
    <row r="3435" spans="1:1">
      <c r="A3435" s="473" t="s">
        <v>2799</v>
      </c>
    </row>
    <row r="3436" spans="1:1">
      <c r="A3436" s="394" t="s">
        <v>1182</v>
      </c>
    </row>
    <row r="3437" spans="1:1">
      <c r="A3437" s="471" t="s">
        <v>1658</v>
      </c>
    </row>
    <row r="3438" spans="1:1">
      <c r="A3438" s="471" t="s">
        <v>1659</v>
      </c>
    </row>
    <row r="3439" spans="1:1">
      <c r="A3439" s="471" t="s">
        <v>1660</v>
      </c>
    </row>
    <row r="3440" spans="1:1">
      <c r="A3440" s="394" t="s">
        <v>1186</v>
      </c>
    </row>
    <row r="3441" spans="1:1">
      <c r="A3441" s="473" t="s">
        <v>2477</v>
      </c>
    </row>
    <row r="3442" spans="1:1">
      <c r="A3442" s="473" t="s">
        <v>2478</v>
      </c>
    </row>
    <row r="3443" spans="1:1">
      <c r="A3443" s="473" t="s">
        <v>2479</v>
      </c>
    </row>
    <row r="3444" spans="1:1">
      <c r="A3444" s="473" t="s">
        <v>2823</v>
      </c>
    </row>
    <row r="3445" spans="1:1">
      <c r="A3445" s="473" t="s">
        <v>2824</v>
      </c>
    </row>
    <row r="3446" spans="1:1">
      <c r="A3446" s="473" t="s">
        <v>2482</v>
      </c>
    </row>
    <row r="3448" spans="1:1">
      <c r="A3448" s="395" t="s">
        <v>1187</v>
      </c>
    </row>
    <row r="3449" spans="1:1">
      <c r="A3449" s="473" t="s">
        <v>2825</v>
      </c>
    </row>
    <row r="3450" spans="1:1">
      <c r="A3450" s="473" t="s">
        <v>2826</v>
      </c>
    </row>
    <row r="3451" spans="1:1">
      <c r="A3451" s="473" t="s">
        <v>2815</v>
      </c>
    </row>
    <row r="3452" spans="1:1">
      <c r="A3452" s="473" t="s">
        <v>1729</v>
      </c>
    </row>
    <row r="3453" spans="1:1">
      <c r="A3453" s="473" t="s">
        <v>2827</v>
      </c>
    </row>
    <row r="3454" spans="1:1">
      <c r="A3454" s="473" t="s">
        <v>1980</v>
      </c>
    </row>
    <row r="3455" spans="1:1">
      <c r="A3455" s="473" t="s">
        <v>2828</v>
      </c>
    </row>
    <row r="3456" spans="1:1">
      <c r="A3456" s="473" t="s">
        <v>2154</v>
      </c>
    </row>
    <row r="3457" spans="1:1">
      <c r="A3457" s="473" t="s">
        <v>2829</v>
      </c>
    </row>
    <row r="3458" spans="1:1">
      <c r="A3458" s="473" t="s">
        <v>1918</v>
      </c>
    </row>
    <row r="3459" spans="1:1">
      <c r="A3459" s="473" t="s">
        <v>2457</v>
      </c>
    </row>
    <row r="3460" spans="1:1">
      <c r="A3460" s="473" t="s">
        <v>2052</v>
      </c>
    </row>
    <row r="3461" spans="1:1">
      <c r="A3461" s="473" t="s">
        <v>2830</v>
      </c>
    </row>
    <row r="3462" spans="1:1">
      <c r="A3462" s="473" t="s">
        <v>1738</v>
      </c>
    </row>
    <row r="3464" spans="1:1">
      <c r="A3464" s="395" t="s">
        <v>1188</v>
      </c>
    </row>
    <row r="3465" spans="1:1">
      <c r="A3465" s="473" t="s">
        <v>1781</v>
      </c>
    </row>
    <row r="3466" spans="1:1">
      <c r="A3466" s="473" t="s">
        <v>2054</v>
      </c>
    </row>
    <row r="3467" spans="1:1">
      <c r="A3467" s="473" t="s">
        <v>2055</v>
      </c>
    </row>
    <row r="3469" spans="1:1">
      <c r="A3469" s="472" t="s">
        <v>1661</v>
      </c>
    </row>
    <row r="3470" spans="1:1">
      <c r="A3470" s="394" t="s">
        <v>1623</v>
      </c>
    </row>
    <row r="3471" spans="1:1">
      <c r="A3471" s="472" t="s">
        <v>1662</v>
      </c>
    </row>
    <row r="3472" spans="1:1">
      <c r="A3472" s="472" t="s">
        <v>1663</v>
      </c>
    </row>
    <row r="3473" spans="1:1">
      <c r="A3473" s="472" t="s">
        <v>1664</v>
      </c>
    </row>
    <row r="3474" spans="1:1">
      <c r="A3474" s="472" t="s">
        <v>1665</v>
      </c>
    </row>
    <row r="3475" spans="1:1">
      <c r="A3475" s="472" t="s">
        <v>1666</v>
      </c>
    </row>
    <row r="3476" spans="1:1">
      <c r="A3476" s="472" t="s">
        <v>1667</v>
      </c>
    </row>
    <row r="3477" spans="1:1">
      <c r="A3477" s="471" t="s">
        <v>1668</v>
      </c>
    </row>
    <row r="3478" spans="1:1">
      <c r="A3478" s="471" t="s">
        <v>1669</v>
      </c>
    </row>
    <row r="3481" spans="1:1">
      <c r="A3481" s="394" t="s">
        <v>1181</v>
      </c>
    </row>
    <row r="3482" spans="1:1">
      <c r="A3482" s="473" t="s">
        <v>2637</v>
      </c>
    </row>
    <row r="3483" spans="1:1">
      <c r="A3483" s="473" t="s">
        <v>2638</v>
      </c>
    </row>
    <row r="3484" spans="1:1">
      <c r="A3484" s="473" t="s">
        <v>2639</v>
      </c>
    </row>
    <row r="3485" spans="1:1">
      <c r="A3485" s="473" t="s">
        <v>2640</v>
      </c>
    </row>
    <row r="3486" spans="1:1">
      <c r="A3486" s="473" t="s">
        <v>2641</v>
      </c>
    </row>
    <row r="3487" spans="1:1">
      <c r="A3487" s="473" t="s">
        <v>2642</v>
      </c>
    </row>
    <row r="3488" spans="1:1">
      <c r="A3488" s="473" t="s">
        <v>2476</v>
      </c>
    </row>
    <row r="3489" spans="1:1">
      <c r="A3489" s="473" t="s">
        <v>2643</v>
      </c>
    </row>
    <row r="3490" spans="1:1">
      <c r="A3490" s="394" t="s">
        <v>1182</v>
      </c>
    </row>
    <row r="3491" spans="1:1">
      <c r="A3491" s="471" t="s">
        <v>1670</v>
      </c>
    </row>
    <row r="3492" spans="1:1">
      <c r="A3492" s="471" t="s">
        <v>1671</v>
      </c>
    </row>
    <row r="3493" spans="1:1">
      <c r="A3493" s="471" t="s">
        <v>1672</v>
      </c>
    </row>
    <row r="3494" spans="1:1">
      <c r="A3494" s="394" t="s">
        <v>1186</v>
      </c>
    </row>
    <row r="3495" spans="1:1">
      <c r="A3495" s="473" t="s">
        <v>2477</v>
      </c>
    </row>
    <row r="3496" spans="1:1">
      <c r="A3496" s="473" t="s">
        <v>2478</v>
      </c>
    </row>
    <row r="3497" spans="1:1">
      <c r="A3497" s="473" t="s">
        <v>2479</v>
      </c>
    </row>
    <row r="3498" spans="1:1">
      <c r="A3498" s="473" t="s">
        <v>2831</v>
      </c>
    </row>
    <row r="3499" spans="1:1">
      <c r="A3499" s="473" t="s">
        <v>2645</v>
      </c>
    </row>
    <row r="3500" spans="1:1">
      <c r="A3500" s="473" t="s">
        <v>2482</v>
      </c>
    </row>
    <row r="3502" spans="1:1">
      <c r="A3502" s="395" t="s">
        <v>1187</v>
      </c>
    </row>
    <row r="3503" spans="1:1">
      <c r="A3503" s="473" t="s">
        <v>2788</v>
      </c>
    </row>
    <row r="3504" spans="1:1">
      <c r="A3504" s="473" t="s">
        <v>2657</v>
      </c>
    </row>
    <row r="3505" spans="1:1">
      <c r="A3505" s="473" t="s">
        <v>2789</v>
      </c>
    </row>
    <row r="3506" spans="1:1">
      <c r="A3506" s="473" t="s">
        <v>1874</v>
      </c>
    </row>
    <row r="3507" spans="1:1">
      <c r="A3507" s="473" t="s">
        <v>2790</v>
      </c>
    </row>
    <row r="3508" spans="1:1">
      <c r="A3508" s="473" t="s">
        <v>1980</v>
      </c>
    </row>
    <row r="3509" spans="1:1">
      <c r="A3509" s="473" t="s">
        <v>2832</v>
      </c>
    </row>
    <row r="3510" spans="1:1">
      <c r="A3510" s="473" t="s">
        <v>2833</v>
      </c>
    </row>
    <row r="3511" spans="1:1">
      <c r="A3511" s="473" t="s">
        <v>2834</v>
      </c>
    </row>
    <row r="3512" spans="1:1">
      <c r="A3512" s="473" t="s">
        <v>1918</v>
      </c>
    </row>
    <row r="3513" spans="1:1">
      <c r="A3513" s="473" t="s">
        <v>2457</v>
      </c>
    </row>
    <row r="3514" spans="1:1">
      <c r="A3514" s="473" t="s">
        <v>2052</v>
      </c>
    </row>
    <row r="3515" spans="1:1">
      <c r="A3515" s="473" t="s">
        <v>2830</v>
      </c>
    </row>
    <row r="3516" spans="1:1">
      <c r="A3516" s="473" t="s">
        <v>1738</v>
      </c>
    </row>
    <row r="3518" spans="1:1">
      <c r="A3518" s="395" t="s">
        <v>1188</v>
      </c>
    </row>
    <row r="3519" spans="1:1">
      <c r="A3519" s="473" t="s">
        <v>1781</v>
      </c>
    </row>
    <row r="3520" spans="1:1">
      <c r="A3520" s="473" t="s">
        <v>2659</v>
      </c>
    </row>
    <row r="3521" spans="1:1">
      <c r="A3521" s="473" t="s">
        <v>2055</v>
      </c>
    </row>
    <row r="3522" spans="1:1">
      <c r="A3522" s="473" t="s">
        <v>2693</v>
      </c>
    </row>
    <row r="3524" spans="1:1">
      <c r="A3524" s="472" t="s">
        <v>1673</v>
      </c>
    </row>
    <row r="3525" spans="1:1">
      <c r="A3525" s="394" t="s">
        <v>1623</v>
      </c>
    </row>
    <row r="3526" spans="1:1">
      <c r="A3526" s="472" t="s">
        <v>1674</v>
      </c>
    </row>
    <row r="3529" spans="1:1">
      <c r="A3529" s="394" t="s">
        <v>1181</v>
      </c>
    </row>
    <row r="3530" spans="1:1">
      <c r="A3530" s="473" t="s">
        <v>2793</v>
      </c>
    </row>
    <row r="3531" spans="1:1">
      <c r="A3531" s="473" t="s">
        <v>2794</v>
      </c>
    </row>
    <row r="3532" spans="1:1">
      <c r="A3532" s="473" t="s">
        <v>2795</v>
      </c>
    </row>
    <row r="3533" spans="1:1">
      <c r="A3533" s="473" t="s">
        <v>2835</v>
      </c>
    </row>
    <row r="3534" spans="1:1">
      <c r="A3534" s="473" t="s">
        <v>2836</v>
      </c>
    </row>
    <row r="3535" spans="1:1">
      <c r="A3535" s="473" t="s">
        <v>2822</v>
      </c>
    </row>
    <row r="3536" spans="1:1">
      <c r="A3536" s="473" t="s">
        <v>2476</v>
      </c>
    </row>
    <row r="3537" spans="1:1">
      <c r="A3537" s="473" t="s">
        <v>2799</v>
      </c>
    </row>
    <row r="3538" spans="1:1">
      <c r="A3538" s="394" t="s">
        <v>1182</v>
      </c>
    </row>
    <row r="3539" spans="1:1">
      <c r="A3539" s="471" t="s">
        <v>1675</v>
      </c>
    </row>
    <row r="3540" spans="1:1">
      <c r="A3540" s="471" t="s">
        <v>1676</v>
      </c>
    </row>
    <row r="3541" spans="1:1">
      <c r="A3541" s="471" t="s">
        <v>1677</v>
      </c>
    </row>
    <row r="3542" spans="1:1">
      <c r="A3542" s="394" t="s">
        <v>1186</v>
      </c>
    </row>
    <row r="3543" spans="1:1">
      <c r="A3543" s="473" t="s">
        <v>2477</v>
      </c>
    </row>
    <row r="3544" spans="1:1">
      <c r="A3544" s="473" t="s">
        <v>2478</v>
      </c>
    </row>
    <row r="3545" spans="1:1">
      <c r="A3545" s="473" t="s">
        <v>2479</v>
      </c>
    </row>
    <row r="3546" spans="1:1">
      <c r="A3546" s="473" t="s">
        <v>2837</v>
      </c>
    </row>
    <row r="3547" spans="1:1">
      <c r="A3547" s="473" t="s">
        <v>2482</v>
      </c>
    </row>
    <row r="3549" spans="1:1">
      <c r="A3549" s="395" t="s">
        <v>1187</v>
      </c>
    </row>
    <row r="3550" spans="1:1">
      <c r="A3550" s="473" t="s">
        <v>2788</v>
      </c>
    </row>
    <row r="3551" spans="1:1">
      <c r="A3551" s="473" t="s">
        <v>2657</v>
      </c>
    </row>
    <row r="3552" spans="1:1">
      <c r="A3552" s="473" t="s">
        <v>2789</v>
      </c>
    </row>
    <row r="3553" spans="1:1">
      <c r="A3553" s="473" t="s">
        <v>1729</v>
      </c>
    </row>
    <row r="3554" spans="1:1">
      <c r="A3554" s="473" t="s">
        <v>2838</v>
      </c>
    </row>
    <row r="3555" spans="1:1">
      <c r="A3555" s="473" t="s">
        <v>1980</v>
      </c>
    </row>
    <row r="3556" spans="1:1">
      <c r="A3556" s="473" t="s">
        <v>2650</v>
      </c>
    </row>
    <row r="3557" spans="1:1">
      <c r="A3557" s="473" t="s">
        <v>2154</v>
      </c>
    </row>
    <row r="3558" spans="1:1">
      <c r="A3558" s="473" t="s">
        <v>2839</v>
      </c>
    </row>
    <row r="3559" spans="1:1">
      <c r="A3559" s="473" t="s">
        <v>1918</v>
      </c>
    </row>
    <row r="3560" spans="1:1">
      <c r="A3560" s="473" t="s">
        <v>2457</v>
      </c>
    </row>
    <row r="3561" spans="1:1">
      <c r="A3561" s="473" t="s">
        <v>2052</v>
      </c>
    </row>
    <row r="3562" spans="1:1">
      <c r="A3562" s="473" t="s">
        <v>1737</v>
      </c>
    </row>
    <row r="3563" spans="1:1">
      <c r="A3563" s="473" t="s">
        <v>1738</v>
      </c>
    </row>
    <row r="3565" spans="1:1">
      <c r="A3565" s="395" t="s">
        <v>1188</v>
      </c>
    </row>
    <row r="3566" spans="1:1">
      <c r="A3566" s="473" t="s">
        <v>1781</v>
      </c>
    </row>
    <row r="3567" spans="1:1">
      <c r="A3567" s="473" t="s">
        <v>2054</v>
      </c>
    </row>
    <row r="3568" spans="1:1">
      <c r="A3568" s="473" t="s">
        <v>2692</v>
      </c>
    </row>
    <row r="3570" spans="1:1">
      <c r="A3570" s="472" t="s">
        <v>1678</v>
      </c>
    </row>
    <row r="3571" spans="1:1">
      <c r="A3571" s="394" t="s">
        <v>1623</v>
      </c>
    </row>
    <row r="3572" spans="1:1">
      <c r="A3572" s="472" t="s">
        <v>1679</v>
      </c>
    </row>
    <row r="3575" spans="1:1">
      <c r="A3575" s="394" t="s">
        <v>1181</v>
      </c>
    </row>
    <row r="3576" spans="1:1">
      <c r="A3576" s="473" t="s">
        <v>2793</v>
      </c>
    </row>
    <row r="3577" spans="1:1">
      <c r="A3577" s="473" t="s">
        <v>2794</v>
      </c>
    </row>
    <row r="3578" spans="1:1">
      <c r="A3578" s="473" t="s">
        <v>2795</v>
      </c>
    </row>
    <row r="3579" spans="1:1">
      <c r="A3579" s="473" t="s">
        <v>2840</v>
      </c>
    </row>
    <row r="3580" spans="1:1">
      <c r="A3580" s="473" t="s">
        <v>2841</v>
      </c>
    </row>
    <row r="3581" spans="1:1">
      <c r="A3581" s="473" t="s">
        <v>2642</v>
      </c>
    </row>
    <row r="3582" spans="1:1">
      <c r="A3582" s="473" t="s">
        <v>2476</v>
      </c>
    </row>
    <row r="3583" spans="1:1">
      <c r="A3583" s="473" t="s">
        <v>2799</v>
      </c>
    </row>
    <row r="3584" spans="1:1">
      <c r="A3584" s="394" t="s">
        <v>1182</v>
      </c>
    </row>
    <row r="3585" spans="1:1">
      <c r="A3585" s="471" t="s">
        <v>1680</v>
      </c>
    </row>
    <row r="3586" spans="1:1">
      <c r="A3586" s="471" t="s">
        <v>1681</v>
      </c>
    </row>
    <row r="3587" spans="1:1">
      <c r="A3587" s="471" t="s">
        <v>1682</v>
      </c>
    </row>
    <row r="3588" spans="1:1">
      <c r="A3588" s="394" t="s">
        <v>1186</v>
      </c>
    </row>
    <row r="3589" spans="1:1">
      <c r="A3589" s="473" t="s">
        <v>2477</v>
      </c>
    </row>
    <row r="3590" spans="1:1">
      <c r="A3590" s="473" t="s">
        <v>2478</v>
      </c>
    </row>
    <row r="3591" spans="1:1">
      <c r="A3591" s="473" t="s">
        <v>2479</v>
      </c>
    </row>
    <row r="3592" spans="1:1">
      <c r="A3592" s="473" t="s">
        <v>2645</v>
      </c>
    </row>
    <row r="3593" spans="1:1">
      <c r="A3593" s="473" t="s">
        <v>2482</v>
      </c>
    </row>
    <row r="3595" spans="1:1">
      <c r="A3595" s="395" t="s">
        <v>1187</v>
      </c>
    </row>
    <row r="3596" spans="1:1">
      <c r="A3596" s="473" t="s">
        <v>2842</v>
      </c>
    </row>
    <row r="3597" spans="1:1">
      <c r="A3597" s="473" t="s">
        <v>2843</v>
      </c>
    </row>
    <row r="3598" spans="1:1">
      <c r="A3598" s="473" t="s">
        <v>2844</v>
      </c>
    </row>
    <row r="3599" spans="1:1">
      <c r="A3599" s="473" t="s">
        <v>1729</v>
      </c>
    </row>
    <row r="3600" spans="1:1">
      <c r="A3600" s="473" t="s">
        <v>2845</v>
      </c>
    </row>
    <row r="3601" spans="1:1">
      <c r="A3601" s="473" t="s">
        <v>1980</v>
      </c>
    </row>
    <row r="3602" spans="1:1">
      <c r="A3602" s="473" t="s">
        <v>2650</v>
      </c>
    </row>
    <row r="3603" spans="1:1">
      <c r="A3603" s="473" t="s">
        <v>2154</v>
      </c>
    </row>
    <row r="3604" spans="1:1">
      <c r="A3604" s="473" t="s">
        <v>2846</v>
      </c>
    </row>
    <row r="3605" spans="1:1">
      <c r="A3605" s="473" t="s">
        <v>1918</v>
      </c>
    </row>
    <row r="3606" spans="1:1">
      <c r="A3606" s="473" t="s">
        <v>2457</v>
      </c>
    </row>
    <row r="3607" spans="1:1">
      <c r="A3607" s="473" t="s">
        <v>2052</v>
      </c>
    </row>
    <row r="3608" spans="1:1">
      <c r="A3608" s="473" t="s">
        <v>1806</v>
      </c>
    </row>
    <row r="3609" spans="1:1">
      <c r="A3609" s="473" t="s">
        <v>1738</v>
      </c>
    </row>
    <row r="3611" spans="1:1">
      <c r="A3611" s="395" t="s">
        <v>1188</v>
      </c>
    </row>
    <row r="3612" spans="1:1">
      <c r="A3612" s="473" t="s">
        <v>1781</v>
      </c>
    </row>
    <row r="3613" spans="1:1">
      <c r="A3613" s="473" t="s">
        <v>2659</v>
      </c>
    </row>
    <row r="3614" spans="1:1">
      <c r="A3614" s="473" t="s">
        <v>2692</v>
      </c>
    </row>
    <row r="3616" spans="1:1">
      <c r="A3616" s="472" t="s">
        <v>1683</v>
      </c>
    </row>
    <row r="3617" spans="1:1">
      <c r="A3617" s="394" t="s">
        <v>1623</v>
      </c>
    </row>
    <row r="3618" spans="1:1">
      <c r="A3618" s="472" t="s">
        <v>1684</v>
      </c>
    </row>
    <row r="3619" spans="1:1">
      <c r="A3619" s="472" t="s">
        <v>1683</v>
      </c>
    </row>
    <row r="3620" spans="1:1">
      <c r="A3620" s="472" t="s">
        <v>1685</v>
      </c>
    </row>
    <row r="3621" spans="1:1">
      <c r="A3621" s="472" t="s">
        <v>1686</v>
      </c>
    </row>
    <row r="3622" spans="1:1">
      <c r="A3622" s="472" t="s">
        <v>1687</v>
      </c>
    </row>
    <row r="3623" spans="1:1">
      <c r="A3623" s="472" t="s">
        <v>1688</v>
      </c>
    </row>
    <row r="3624" spans="1:1">
      <c r="A3624" s="472" t="s">
        <v>1689</v>
      </c>
    </row>
    <row r="3625" spans="1:1">
      <c r="A3625" s="471" t="s">
        <v>1690</v>
      </c>
    </row>
    <row r="3626" spans="1:1">
      <c r="A3626" s="471" t="s">
        <v>1691</v>
      </c>
    </row>
    <row r="3629" spans="1:1">
      <c r="A3629" s="394" t="s">
        <v>1181</v>
      </c>
    </row>
    <row r="3630" spans="1:1">
      <c r="A3630" s="473" t="s">
        <v>2793</v>
      </c>
    </row>
    <row r="3631" spans="1:1">
      <c r="A3631" s="473" t="s">
        <v>2794</v>
      </c>
    </row>
    <row r="3632" spans="1:1">
      <c r="A3632" s="473" t="s">
        <v>2847</v>
      </c>
    </row>
    <row r="3633" spans="1:1">
      <c r="A3633" s="473" t="s">
        <v>2848</v>
      </c>
    </row>
    <row r="3634" spans="1:1">
      <c r="A3634" s="473" t="s">
        <v>2821</v>
      </c>
    </row>
    <row r="3635" spans="1:1">
      <c r="A3635" s="473" t="s">
        <v>2822</v>
      </c>
    </row>
    <row r="3636" spans="1:1">
      <c r="A3636" s="473" t="s">
        <v>2476</v>
      </c>
    </row>
    <row r="3637" spans="1:1">
      <c r="A3637" s="473" t="s">
        <v>2799</v>
      </c>
    </row>
    <row r="3638" spans="1:1">
      <c r="A3638" s="394" t="s">
        <v>1182</v>
      </c>
    </row>
    <row r="3639" spans="1:1">
      <c r="A3639" s="471" t="s">
        <v>1692</v>
      </c>
    </row>
    <row r="3640" spans="1:1">
      <c r="A3640" s="471" t="s">
        <v>1693</v>
      </c>
    </row>
    <row r="3641" spans="1:1">
      <c r="A3641" s="471" t="s">
        <v>1694</v>
      </c>
    </row>
    <row r="3642" spans="1:1">
      <c r="A3642" s="394" t="s">
        <v>1186</v>
      </c>
    </row>
    <row r="3643" spans="1:1">
      <c r="A3643" s="473" t="s">
        <v>2477</v>
      </c>
    </row>
    <row r="3644" spans="1:1">
      <c r="A3644" s="473" t="s">
        <v>2478</v>
      </c>
    </row>
    <row r="3645" spans="1:1">
      <c r="A3645" s="473" t="s">
        <v>2479</v>
      </c>
    </row>
    <row r="3646" spans="1:1">
      <c r="A3646" s="473" t="s">
        <v>2849</v>
      </c>
    </row>
    <row r="3647" spans="1:1">
      <c r="A3647" s="473" t="s">
        <v>2837</v>
      </c>
    </row>
    <row r="3648" spans="1:1">
      <c r="A3648" s="473" t="s">
        <v>2482</v>
      </c>
    </row>
    <row r="3650" spans="1:1">
      <c r="A3650" s="395" t="s">
        <v>1187</v>
      </c>
    </row>
    <row r="3651" spans="1:1">
      <c r="A3651" s="473" t="s">
        <v>2850</v>
      </c>
    </row>
    <row r="3652" spans="1:1">
      <c r="A3652" s="473" t="s">
        <v>2309</v>
      </c>
    </row>
    <row r="3653" spans="1:1">
      <c r="A3653" s="473" t="s">
        <v>2851</v>
      </c>
    </row>
    <row r="3654" spans="1:1">
      <c r="A3654" s="473" t="s">
        <v>1729</v>
      </c>
    </row>
    <row r="3655" spans="1:1">
      <c r="A3655" s="473" t="s">
        <v>2852</v>
      </c>
    </row>
    <row r="3656" spans="1:1">
      <c r="A3656" s="473" t="s">
        <v>1980</v>
      </c>
    </row>
    <row r="3657" spans="1:1">
      <c r="A3657" s="473" t="s">
        <v>2853</v>
      </c>
    </row>
    <row r="3658" spans="1:1">
      <c r="A3658" s="473" t="s">
        <v>2154</v>
      </c>
    </row>
    <row r="3659" spans="1:1">
      <c r="A3659" s="473" t="s">
        <v>2854</v>
      </c>
    </row>
    <row r="3660" spans="1:1">
      <c r="A3660" s="473" t="s">
        <v>1918</v>
      </c>
    </row>
    <row r="3661" spans="1:1">
      <c r="A3661" s="473" t="s">
        <v>2457</v>
      </c>
    </row>
    <row r="3662" spans="1:1">
      <c r="A3662" s="473" t="s">
        <v>2052</v>
      </c>
    </row>
    <row r="3663" spans="1:1">
      <c r="A3663" s="473" t="s">
        <v>1806</v>
      </c>
    </row>
    <row r="3664" spans="1:1">
      <c r="A3664" s="473" t="s">
        <v>1738</v>
      </c>
    </row>
    <row r="3666" spans="1:1">
      <c r="A3666" s="395" t="s">
        <v>1188</v>
      </c>
    </row>
    <row r="3667" spans="1:1">
      <c r="A3667" s="473" t="s">
        <v>1781</v>
      </c>
    </row>
    <row r="3668" spans="1:1">
      <c r="A3668" s="473" t="s">
        <v>2054</v>
      </c>
    </row>
    <row r="3669" spans="1:1">
      <c r="A3669" s="473" t="s">
        <v>2692</v>
      </c>
    </row>
    <row r="3671" spans="1:1">
      <c r="A3671" s="472" t="s">
        <v>1695</v>
      </c>
    </row>
    <row r="3672" spans="1:1">
      <c r="A3672" s="394" t="s">
        <v>1623</v>
      </c>
    </row>
    <row r="3673" spans="1:1">
      <c r="A3673" s="472" t="s">
        <v>1696</v>
      </c>
    </row>
    <row r="3676" spans="1:1">
      <c r="A3676" s="394" t="s">
        <v>1181</v>
      </c>
    </row>
    <row r="3677" spans="1:1">
      <c r="A3677" s="473" t="s">
        <v>2637</v>
      </c>
    </row>
    <row r="3678" spans="1:1">
      <c r="A3678" s="473" t="s">
        <v>2638</v>
      </c>
    </row>
    <row r="3679" spans="1:1">
      <c r="A3679" s="473" t="s">
        <v>2639</v>
      </c>
    </row>
    <row r="3680" spans="1:1">
      <c r="A3680" s="473" t="s">
        <v>2640</v>
      </c>
    </row>
    <row r="3681" spans="1:1">
      <c r="A3681" s="473" t="s">
        <v>2641</v>
      </c>
    </row>
    <row r="3682" spans="1:1">
      <c r="A3682" s="473" t="s">
        <v>2642</v>
      </c>
    </row>
    <row r="3683" spans="1:1">
      <c r="A3683" s="473" t="s">
        <v>2476</v>
      </c>
    </row>
    <row r="3684" spans="1:1">
      <c r="A3684" s="473" t="s">
        <v>2643</v>
      </c>
    </row>
    <row r="3685" spans="1:1">
      <c r="A3685" s="394" t="s">
        <v>1182</v>
      </c>
    </row>
    <row r="3686" spans="1:1">
      <c r="A3686" s="471" t="s">
        <v>1697</v>
      </c>
    </row>
    <row r="3687" spans="1:1">
      <c r="A3687" s="471" t="s">
        <v>1698</v>
      </c>
    </row>
    <row r="3688" spans="1:1">
      <c r="A3688" s="471" t="s">
        <v>1699</v>
      </c>
    </row>
    <row r="3689" spans="1:1">
      <c r="A3689" s="394" t="s">
        <v>1186</v>
      </c>
    </row>
    <row r="3690" spans="1:1">
      <c r="A3690" s="473" t="s">
        <v>2477</v>
      </c>
    </row>
    <row r="3691" spans="1:1">
      <c r="A3691" s="473" t="s">
        <v>2478</v>
      </c>
    </row>
    <row r="3692" spans="1:1">
      <c r="A3692" s="473" t="s">
        <v>2479</v>
      </c>
    </row>
    <row r="3693" spans="1:1">
      <c r="A3693" s="473" t="s">
        <v>2855</v>
      </c>
    </row>
    <row r="3694" spans="1:1">
      <c r="A3694" s="473" t="s">
        <v>1851</v>
      </c>
    </row>
    <row r="3696" spans="1:1">
      <c r="A3696" s="395" t="s">
        <v>1187</v>
      </c>
    </row>
    <row r="3697" spans="1:1">
      <c r="A3697" s="473" t="s">
        <v>2856</v>
      </c>
    </row>
    <row r="3698" spans="1:1">
      <c r="A3698" s="473" t="s">
        <v>2857</v>
      </c>
    </row>
    <row r="3699" spans="1:1">
      <c r="A3699" s="473" t="s">
        <v>2260</v>
      </c>
    </row>
    <row r="3700" spans="1:1">
      <c r="A3700" s="473" t="s">
        <v>1855</v>
      </c>
    </row>
    <row r="3701" spans="1:1">
      <c r="A3701" s="473" t="s">
        <v>2858</v>
      </c>
    </row>
    <row r="3702" spans="1:1">
      <c r="A3702" s="473" t="s">
        <v>1980</v>
      </c>
    </row>
    <row r="3703" spans="1:1">
      <c r="A3703" s="473" t="s">
        <v>2859</v>
      </c>
    </row>
    <row r="3704" spans="1:1">
      <c r="A3704" s="473" t="s">
        <v>2154</v>
      </c>
    </row>
    <row r="3705" spans="1:1">
      <c r="A3705" s="473" t="s">
        <v>2860</v>
      </c>
    </row>
    <row r="3706" spans="1:1">
      <c r="A3706" s="473" t="s">
        <v>1918</v>
      </c>
    </row>
    <row r="3707" spans="1:1">
      <c r="A3707" s="473" t="s">
        <v>2457</v>
      </c>
    </row>
    <row r="3708" spans="1:1">
      <c r="A3708" s="473" t="s">
        <v>2052</v>
      </c>
    </row>
    <row r="3709" spans="1:1">
      <c r="A3709" s="473" t="s">
        <v>1737</v>
      </c>
    </row>
    <row r="3710" spans="1:1">
      <c r="A3710" s="473" t="s">
        <v>1738</v>
      </c>
    </row>
    <row r="3712" spans="1:1">
      <c r="A3712" s="395" t="s">
        <v>1188</v>
      </c>
    </row>
    <row r="3713" spans="1:1">
      <c r="A3713" s="473" t="s">
        <v>1781</v>
      </c>
    </row>
    <row r="3714" spans="1:1">
      <c r="A3714" s="473" t="s">
        <v>1740</v>
      </c>
    </row>
    <row r="3715" spans="1:1">
      <c r="A3715" s="473" t="s">
        <v>2861</v>
      </c>
    </row>
    <row r="3716" spans="1:1">
      <c r="A3716" s="473" t="s">
        <v>2862</v>
      </c>
    </row>
    <row r="3718" spans="1:1">
      <c r="A3718" s="472" t="s">
        <v>1700</v>
      </c>
    </row>
    <row r="3719" spans="1:1">
      <c r="A3719" s="394" t="s">
        <v>1623</v>
      </c>
    </row>
    <row r="3720" spans="1:1">
      <c r="A3720" s="472" t="s">
        <v>1701</v>
      </c>
    </row>
    <row r="3723" spans="1:1">
      <c r="A3723" s="394" t="s">
        <v>1181</v>
      </c>
    </row>
    <row r="3724" spans="1:1">
      <c r="A3724" s="473" t="s">
        <v>2863</v>
      </c>
    </row>
    <row r="3725" spans="1:1">
      <c r="A3725" s="473" t="s">
        <v>2320</v>
      </c>
    </row>
    <row r="3726" spans="1:1">
      <c r="A3726" s="473" t="s">
        <v>2864</v>
      </c>
    </row>
    <row r="3727" spans="1:1">
      <c r="A3727" s="473" t="s">
        <v>2041</v>
      </c>
    </row>
    <row r="3728" spans="1:1">
      <c r="A3728" s="473" t="s">
        <v>2865</v>
      </c>
    </row>
    <row r="3729" spans="1:1">
      <c r="A3729" s="473" t="s">
        <v>2866</v>
      </c>
    </row>
    <row r="3730" spans="1:1">
      <c r="A3730" s="473" t="s">
        <v>2476</v>
      </c>
    </row>
    <row r="3731" spans="1:1">
      <c r="A3731" s="473" t="s">
        <v>2240</v>
      </c>
    </row>
    <row r="3732" spans="1:1">
      <c r="A3732" s="394" t="s">
        <v>1182</v>
      </c>
    </row>
    <row r="3733" spans="1:1">
      <c r="A3733" s="471" t="s">
        <v>1702</v>
      </c>
    </row>
    <row r="3734" spans="1:1">
      <c r="A3734" s="471" t="s">
        <v>1703</v>
      </c>
    </row>
    <row r="3735" spans="1:1">
      <c r="A3735" s="471" t="s">
        <v>1704</v>
      </c>
    </row>
    <row r="3736" spans="1:1">
      <c r="A3736" s="394" t="s">
        <v>1186</v>
      </c>
    </row>
    <row r="3737" spans="1:1">
      <c r="A3737" s="473" t="s">
        <v>1749</v>
      </c>
    </row>
    <row r="3738" spans="1:1">
      <c r="A3738" s="473" t="s">
        <v>2478</v>
      </c>
    </row>
    <row r="3739" spans="1:1">
      <c r="A3739" s="473" t="s">
        <v>2479</v>
      </c>
    </row>
    <row r="3740" spans="1:1">
      <c r="A3740" s="473" t="s">
        <v>2645</v>
      </c>
    </row>
    <row r="3741" spans="1:1">
      <c r="A3741" s="473" t="s">
        <v>2482</v>
      </c>
    </row>
    <row r="3743" spans="1:1">
      <c r="A3743" s="395" t="s">
        <v>1187</v>
      </c>
    </row>
    <row r="3744" spans="1:1">
      <c r="A3744" s="473" t="s">
        <v>2788</v>
      </c>
    </row>
    <row r="3745" spans="1:1">
      <c r="A3745" s="473" t="s">
        <v>2657</v>
      </c>
    </row>
    <row r="3746" spans="1:1">
      <c r="A3746" s="473" t="s">
        <v>2789</v>
      </c>
    </row>
    <row r="3747" spans="1:1">
      <c r="A3747" s="473" t="s">
        <v>2867</v>
      </c>
    </row>
    <row r="3748" spans="1:1">
      <c r="A3748" s="473" t="s">
        <v>2790</v>
      </c>
    </row>
    <row r="3749" spans="1:1">
      <c r="A3749" s="473" t="s">
        <v>1980</v>
      </c>
    </row>
    <row r="3750" spans="1:1">
      <c r="A3750" s="473" t="s">
        <v>2650</v>
      </c>
    </row>
    <row r="3751" spans="1:1">
      <c r="A3751" s="473" t="s">
        <v>2154</v>
      </c>
    </row>
    <row r="3752" spans="1:1">
      <c r="A3752" s="473" t="s">
        <v>2155</v>
      </c>
    </row>
    <row r="3753" spans="1:1">
      <c r="A3753" s="473" t="s">
        <v>1918</v>
      </c>
    </row>
    <row r="3754" spans="1:1">
      <c r="A3754" s="473" t="s">
        <v>2457</v>
      </c>
    </row>
    <row r="3755" spans="1:1">
      <c r="A3755" s="473" t="s">
        <v>2052</v>
      </c>
    </row>
    <row r="3756" spans="1:1">
      <c r="A3756" s="473" t="s">
        <v>2830</v>
      </c>
    </row>
    <row r="3757" spans="1:1">
      <c r="A3757" s="473" t="s">
        <v>1738</v>
      </c>
    </row>
    <row r="3759" spans="1:1">
      <c r="A3759" s="395" t="s">
        <v>1188</v>
      </c>
    </row>
    <row r="3760" spans="1:1">
      <c r="A3760" s="473" t="s">
        <v>1781</v>
      </c>
    </row>
    <row r="3761" spans="1:1">
      <c r="A3761" s="473" t="s">
        <v>2659</v>
      </c>
    </row>
    <row r="3762" spans="1:1">
      <c r="A3762" s="473" t="s">
        <v>2692</v>
      </c>
    </row>
    <row r="3764" spans="1:1">
      <c r="A3764" s="472" t="s">
        <v>1705</v>
      </c>
    </row>
    <row r="3765" spans="1:1">
      <c r="A3765" s="394" t="s">
        <v>1623</v>
      </c>
    </row>
    <row r="3766" spans="1:1">
      <c r="A3766" s="472" t="s">
        <v>1706</v>
      </c>
    </row>
    <row r="3769" spans="1:1">
      <c r="A3769" s="394" t="s">
        <v>1181</v>
      </c>
    </row>
    <row r="3770" spans="1:1">
      <c r="A3770" s="473" t="s">
        <v>2637</v>
      </c>
    </row>
    <row r="3771" spans="1:1">
      <c r="A3771" s="473" t="s">
        <v>2638</v>
      </c>
    </row>
    <row r="3772" spans="1:1">
      <c r="A3772" s="473" t="s">
        <v>2639</v>
      </c>
    </row>
    <row r="3773" spans="1:1">
      <c r="A3773" s="473" t="s">
        <v>2640</v>
      </c>
    </row>
    <row r="3774" spans="1:1">
      <c r="A3774" s="473" t="s">
        <v>2641</v>
      </c>
    </row>
    <row r="3775" spans="1:1">
      <c r="A3775" s="473" t="s">
        <v>2642</v>
      </c>
    </row>
    <row r="3776" spans="1:1">
      <c r="A3776" s="473" t="s">
        <v>2476</v>
      </c>
    </row>
    <row r="3777" spans="1:1">
      <c r="A3777" s="473" t="s">
        <v>2643</v>
      </c>
    </row>
    <row r="3778" spans="1:1">
      <c r="A3778" s="394" t="s">
        <v>1182</v>
      </c>
    </row>
    <row r="3779" spans="1:1">
      <c r="A3779" s="471" t="s">
        <v>1707</v>
      </c>
    </row>
    <row r="3780" spans="1:1">
      <c r="A3780" s="471" t="s">
        <v>1708</v>
      </c>
    </row>
    <row r="3781" spans="1:1">
      <c r="A3781" s="471" t="s">
        <v>1709</v>
      </c>
    </row>
    <row r="3782" spans="1:1">
      <c r="A3782" s="394" t="s">
        <v>1186</v>
      </c>
    </row>
    <row r="3783" spans="1:1">
      <c r="A3783" s="473" t="s">
        <v>2477</v>
      </c>
    </row>
    <row r="3784" spans="1:1">
      <c r="A3784" s="473" t="s">
        <v>2478</v>
      </c>
    </row>
    <row r="3785" spans="1:1">
      <c r="A3785" s="473" t="s">
        <v>2479</v>
      </c>
    </row>
    <row r="3786" spans="1:1">
      <c r="A3786" s="473" t="s">
        <v>2645</v>
      </c>
    </row>
    <row r="3787" spans="1:1">
      <c r="A3787" s="473" t="s">
        <v>1851</v>
      </c>
    </row>
    <row r="3789" spans="1:1">
      <c r="A3789" s="395" t="s">
        <v>1187</v>
      </c>
    </row>
    <row r="3790" spans="1:1">
      <c r="A3790" s="473" t="s">
        <v>2868</v>
      </c>
    </row>
    <row r="3791" spans="1:1">
      <c r="A3791" s="473" t="s">
        <v>2869</v>
      </c>
    </row>
    <row r="3792" spans="1:1">
      <c r="A3792" s="473" t="s">
        <v>2870</v>
      </c>
    </row>
    <row r="3793" spans="1:1">
      <c r="A3793" s="473" t="s">
        <v>1799</v>
      </c>
    </row>
    <row r="3794" spans="1:1">
      <c r="A3794" s="473" t="s">
        <v>2790</v>
      </c>
    </row>
    <row r="3795" spans="1:1">
      <c r="A3795" s="473" t="s">
        <v>1980</v>
      </c>
    </row>
    <row r="3796" spans="1:1">
      <c r="A3796" s="473" t="s">
        <v>2650</v>
      </c>
    </row>
    <row r="3797" spans="1:1">
      <c r="A3797" s="473" t="s">
        <v>2154</v>
      </c>
    </row>
    <row r="3798" spans="1:1">
      <c r="A3798" s="473" t="s">
        <v>2490</v>
      </c>
    </row>
    <row r="3799" spans="1:1">
      <c r="A3799" s="473" t="s">
        <v>1918</v>
      </c>
    </row>
    <row r="3800" spans="1:1">
      <c r="A3800" s="473" t="s">
        <v>2457</v>
      </c>
    </row>
    <row r="3801" spans="1:1">
      <c r="A3801" s="473" t="s">
        <v>2052</v>
      </c>
    </row>
    <row r="3802" spans="1:1">
      <c r="A3802" s="473" t="s">
        <v>1737</v>
      </c>
    </row>
    <row r="3803" spans="1:1">
      <c r="A3803" s="473" t="s">
        <v>1738</v>
      </c>
    </row>
    <row r="3805" spans="1:1">
      <c r="A3805" s="395" t="s">
        <v>1188</v>
      </c>
    </row>
    <row r="3806" spans="1:1">
      <c r="A3806" s="473" t="s">
        <v>1781</v>
      </c>
    </row>
    <row r="3807" spans="1:1">
      <c r="A3807" s="473" t="s">
        <v>2054</v>
      </c>
    </row>
    <row r="3808" spans="1:1">
      <c r="A3808" s="473" t="s">
        <v>2055</v>
      </c>
    </row>
    <row r="3810" spans="1:1">
      <c r="A3810" s="472" t="s">
        <v>1710</v>
      </c>
    </row>
    <row r="3811" spans="1:1">
      <c r="A3811" s="394" t="s">
        <v>1623</v>
      </c>
    </row>
    <row r="3812" spans="1:1">
      <c r="A3812" s="472" t="s">
        <v>1711</v>
      </c>
    </row>
    <row r="3815" spans="1:1">
      <c r="A3815" s="394" t="s">
        <v>1181</v>
      </c>
    </row>
    <row r="3816" spans="1:1">
      <c r="A3816" s="473" t="s">
        <v>2871</v>
      </c>
    </row>
    <row r="3817" spans="1:1">
      <c r="A3817" s="473" t="s">
        <v>2794</v>
      </c>
    </row>
    <row r="3818" spans="1:1">
      <c r="A3818" s="473" t="s">
        <v>2872</v>
      </c>
    </row>
    <row r="3819" spans="1:1">
      <c r="A3819" s="473" t="s">
        <v>2840</v>
      </c>
    </row>
    <row r="3820" spans="1:1">
      <c r="A3820" s="473" t="s">
        <v>2641</v>
      </c>
    </row>
    <row r="3821" spans="1:1">
      <c r="A3821" s="473" t="s">
        <v>2642</v>
      </c>
    </row>
    <row r="3822" spans="1:1">
      <c r="A3822" s="473" t="s">
        <v>2476</v>
      </c>
    </row>
    <row r="3823" spans="1:1">
      <c r="A3823" s="473" t="s">
        <v>2643</v>
      </c>
    </row>
    <row r="3824" spans="1:1">
      <c r="A3824" s="394" t="s">
        <v>1182</v>
      </c>
    </row>
    <row r="3825" spans="1:1">
      <c r="A3825" s="471" t="s">
        <v>1712</v>
      </c>
    </row>
    <row r="3826" spans="1:1">
      <c r="A3826" s="471" t="s">
        <v>1713</v>
      </c>
    </row>
    <row r="3827" spans="1:1">
      <c r="A3827" s="471" t="s">
        <v>1714</v>
      </c>
    </row>
    <row r="3828" spans="1:1">
      <c r="A3828" s="394" t="s">
        <v>1186</v>
      </c>
    </row>
    <row r="3829" spans="1:1">
      <c r="A3829" s="473" t="s">
        <v>2477</v>
      </c>
    </row>
    <row r="3830" spans="1:1">
      <c r="A3830" s="473" t="s">
        <v>2478</v>
      </c>
    </row>
    <row r="3831" spans="1:1">
      <c r="A3831" s="473" t="s">
        <v>2479</v>
      </c>
    </row>
    <row r="3832" spans="1:1">
      <c r="A3832" s="473" t="s">
        <v>2645</v>
      </c>
    </row>
    <row r="3833" spans="1:1">
      <c r="A3833" s="473" t="s">
        <v>2482</v>
      </c>
    </row>
    <row r="3835" spans="1:1">
      <c r="A3835" s="395" t="s">
        <v>1187</v>
      </c>
    </row>
    <row r="3836" spans="1:1">
      <c r="A3836" s="473" t="s">
        <v>2788</v>
      </c>
    </row>
    <row r="3837" spans="1:1">
      <c r="A3837" s="473" t="s">
        <v>2657</v>
      </c>
    </row>
    <row r="3838" spans="1:1">
      <c r="A3838" s="473" t="s">
        <v>2789</v>
      </c>
    </row>
    <row r="3839" spans="1:1">
      <c r="A3839" s="473" t="s">
        <v>2033</v>
      </c>
    </row>
    <row r="3840" spans="1:1">
      <c r="A3840" s="473" t="s">
        <v>2790</v>
      </c>
    </row>
    <row r="3841" spans="1:1">
      <c r="A3841" s="473" t="s">
        <v>1980</v>
      </c>
    </row>
    <row r="3842" spans="1:1">
      <c r="A3842" s="473" t="s">
        <v>2650</v>
      </c>
    </row>
    <row r="3843" spans="1:1">
      <c r="A3843" s="473" t="s">
        <v>2154</v>
      </c>
    </row>
    <row r="3844" spans="1:1">
      <c r="A3844" s="473" t="s">
        <v>2873</v>
      </c>
    </row>
    <row r="3845" spans="1:1">
      <c r="A3845" s="473" t="s">
        <v>1918</v>
      </c>
    </row>
    <row r="3846" spans="1:1">
      <c r="A3846" s="473" t="s">
        <v>2457</v>
      </c>
    </row>
    <row r="3847" spans="1:1">
      <c r="A3847" s="473" t="s">
        <v>2052</v>
      </c>
    </row>
    <row r="3848" spans="1:1">
      <c r="A3848" s="473" t="s">
        <v>1737</v>
      </c>
    </row>
    <row r="3849" spans="1:1">
      <c r="A3849" s="473" t="s">
        <v>1738</v>
      </c>
    </row>
    <row r="3851" spans="1:1">
      <c r="A3851" s="395" t="s">
        <v>1188</v>
      </c>
    </row>
    <row r="3852" spans="1:1">
      <c r="A3852" s="473" t="s">
        <v>1781</v>
      </c>
    </row>
    <row r="3853" spans="1:1">
      <c r="A3853" s="473" t="s">
        <v>2659</v>
      </c>
    </row>
    <row r="3854" spans="1:1">
      <c r="A3854" s="473" t="s">
        <v>2055</v>
      </c>
    </row>
  </sheetData>
  <hyperlinks>
    <hyperlink ref="A1" r:id="rId1" xr:uid="{7AFF3332-6C38-9941-86F8-EAAE3A49FA0B}"/>
    <hyperlink ref="A25" r:id="rId2" display="http://www.troegs.com/" xr:uid="{D93B6DEB-7BB0-0C4A-828B-F9371D0AD53D}"/>
    <hyperlink ref="A26" r:id="rId3" display="https://www.avbc.com/" xr:uid="{2A41B0A3-F35B-8148-93C7-AE61A24A28CA}"/>
    <hyperlink ref="A27" r:id="rId4" display="http://www.northcoastbrewing.com/" xr:uid="{B3C0235A-CC88-9442-AB00-033D949B715B}"/>
    <hyperlink ref="A63" r:id="rId5" display="https://www.craftbeer.com/breweries/find-a-us-brewery" xr:uid="{A40F5E51-4789-0C4A-8280-7DFF4FDC01A2}"/>
    <hyperlink ref="A76" r:id="rId6" display="https://www.bootstrapbrewing.com/" xr:uid="{8231A3CC-71F8-834E-BC57-7B83DC63480E}"/>
    <hyperlink ref="A77" r:id="rId7" display="http://www.sierranevada.com/" xr:uid="{E554AEEF-7F9D-3940-A963-DC592CCA9F78}"/>
    <hyperlink ref="A78" r:id="rId8" display="http://www.deschutesbrewery.com/" xr:uid="{B77825C7-D929-044D-B276-323310A28A7B}"/>
    <hyperlink ref="A122" r:id="rId9" display="https://www.victorybeer.com/" xr:uid="{1AF8B191-8DD7-3142-89CE-DF4BD730D95D}"/>
    <hyperlink ref="A123" r:id="rId10" display="https://www.deschutesbrewery.com/" xr:uid="{7DC56D50-BEA4-E148-8F1A-6994CB36E2C0}"/>
    <hyperlink ref="A124" r:id="rId11" display="http://echobrewing.com/" xr:uid="{D56C3AEF-2863-5A4E-AC9C-D5F6F3CF3482}"/>
    <hyperlink ref="A168" r:id="rId12" display="https://www.harpoonbrewery.com/" xr:uid="{EBCE445F-7EF9-0B4A-84D9-1C0D0067D11C}"/>
    <hyperlink ref="A169" r:id="rId13" display="https://realalebrewing.com/" xr:uid="{D5555DFF-3004-F04E-A444-ADFD6579BC02}"/>
    <hyperlink ref="A170" r:id="rId14" display="http://www.blackravenbrewing.com/" xr:uid="{D6EE4940-7933-354C-89EA-ED19D97A5E1C}"/>
    <hyperlink ref="A214" r:id="rId15" display="http://odellbrewing.com/" xr:uid="{8C75B5EF-B843-914E-8CCB-5CE335C5B6C7}"/>
    <hyperlink ref="A215" r:id="rId16" display="http://peticolasbrewing.com/" xr:uid="{69C6B79D-B32D-494C-A5B8-6B282F560908}"/>
    <hyperlink ref="A216" r:id="rId17" display="http://www.greatlakesbrewing.com/home" xr:uid="{91B45235-08CB-7749-8F88-3E40109A5ABC}"/>
    <hyperlink ref="A260" r:id="rId18" display="https://www.samueladams.com/" xr:uid="{2C92578E-412C-4545-9508-792D6637B3E2}"/>
    <hyperlink ref="A261" r:id="rId19" display="http://www.brooklynbrewery.com/" xr:uid="{09F1DE3A-9771-BC40-A67D-EA8720218138}"/>
    <hyperlink ref="A262" r:id="rId20" display="http://www.figmtnbrew.com/" xr:uid="{7172A8C5-54F4-4043-8ED0-EA87159F69D9}"/>
    <hyperlink ref="A299" r:id="rId21" display="https://www.craftbeer.com/breweries/find-a-us-brewery" xr:uid="{CEC08BAD-66C6-BF4B-9854-86A086B61E17}"/>
    <hyperlink ref="A300" r:id="rId22" display="https://brewersassociation.wufoo.com/forms/m11sr41e006n9kk/" xr:uid="{18CC9505-74A5-574C-B6E0-4887198DDF65}"/>
    <hyperlink ref="A313" r:id="rId23" display="https://www.wibbybrewing.com/" xr:uid="{4746CD81-C0C5-EB4F-87C2-F476C29BC4BF}"/>
    <hyperlink ref="A314" r:id="rId24" display="http://www.equinoxbrewing.com/" xr:uid="{00E741C8-86AF-7747-AEA1-9B8D2509CA57}"/>
    <hyperlink ref="A315" r:id="rId25" display="http://www.chuckanutbreweryandkitchen.com/" xr:uid="{E45CB25A-F37C-A345-9A67-93FFF8508EFA}"/>
    <hyperlink ref="A359" r:id="rId26" display="http://www.lostrhino.com/" xr:uid="{1CE2E001-FC45-3F4B-8D8E-06022D67F242}"/>
    <hyperlink ref="A360" r:id="rId27" display="http://www.shiner.com/" xr:uid="{A792F94A-683A-AE42-9840-9215C8BBA2FA}"/>
    <hyperlink ref="A361" r:id="rId28" display="http://www.victorybeer.com/" xr:uid="{3CD30541-0C84-6742-BFD4-50D8C2BE13D9}"/>
    <hyperlink ref="A405" r:id="rId29" display="http://www.desperatetimesbrewery.com/" xr:uid="{E70E33CA-2964-CD4F-BC63-C3DC52453920}"/>
    <hyperlink ref="A406" r:id="rId30" display="http://www.sprecherbrewery.com/" xr:uid="{2082058B-F19A-764B-BCA2-53281BB3AE2F}"/>
    <hyperlink ref="A407" r:id="rId31" display="https://www.samueladams.com/" xr:uid="{E33857D4-B7EE-064A-AAAB-572CD4E13AF7}"/>
    <hyperlink ref="A450" r:id="rId32" display="http://www.greatlakesbrewing.com/home" xr:uid="{085B9053-8FCB-224F-94CC-4D32B0BFBB7E}"/>
    <hyperlink ref="A451" r:id="rId33" display="https://sierranevada.com/" xr:uid="{0D3E00A1-DEB7-404C-8892-E301DA950F19}"/>
    <hyperlink ref="A452" r:id="rId34" display="http://www.chuckanutbreweryandkitchen.com/" xr:uid="{2B6F5177-4C50-314A-824C-7350F0E239DC}"/>
    <hyperlink ref="A495" r:id="rId35" display="http://www.brooklynbrewery.com/" xr:uid="{38ACF95B-E05C-F548-B653-230E4295F4FE}"/>
    <hyperlink ref="A496" r:id="rId36" display="https://www.odellbrewing.com/" xr:uid="{DB4EAA6D-ACCB-3046-BF90-D1BA453FDA5D}"/>
    <hyperlink ref="A497" r:id="rId37" display="http://www.telluridebrewingco.com/" xr:uid="{FCC6F55E-E66F-6147-821C-ADEF2AEF006D}"/>
    <hyperlink ref="A533" r:id="rId38" display="https://www.craftbeer.com/breweries/find-a-us-brewery" xr:uid="{51E9F822-13BE-8544-AA99-F0C4D446E753}"/>
    <hyperlink ref="A534" r:id="rId39" display="https://brewersassociation.wufoo.com/forms/m11sr41e006n9kk/" xr:uid="{A79F8898-6FB7-964B-9DFB-80295C7547A4}"/>
    <hyperlink ref="A547" r:id="rId40" display="http://www.citystarbrewing.com/" xr:uid="{19432B2C-049A-144D-ABDF-8F7F00CB7225}"/>
    <hyperlink ref="A548" r:id="rId41" display="http://alesmith.com/" xr:uid="{252E230F-7025-284A-9EF2-3B8A66BD9282}"/>
    <hyperlink ref="A549" r:id="rId42" display="https://www.orlisonbrewing.com/" xr:uid="{A0C2F26D-D299-FF44-9ED3-255AAD48F948}"/>
    <hyperlink ref="A593" r:id="rId43" display="http://drydockbrewing.com/" xr:uid="{6F2E54F8-C2C7-2249-87B9-D0E97DD68FB2}"/>
    <hyperlink ref="A594" r:id="rId44" display="http://www.uintabrewing.com/" xr:uid="{9BABAC9F-FF40-4444-92AB-0D1B02058816}"/>
    <hyperlink ref="A595" r:id="rId45" display="http://www.brinkbrewing.com/" xr:uid="{B333F7B7-135D-3849-832F-719FAEDD9FE1}"/>
    <hyperlink ref="A640" r:id="rId46" display="http://www.stonebrewing.com/" xr:uid="{3924545B-9B7B-EF42-9B7B-6C6BEBD7F5FA}"/>
    <hyperlink ref="A641" r:id="rId47" display="http://www.bellsbeer.com/" xr:uid="{F7DD0537-03C3-CC42-9819-E851C53C305D}"/>
    <hyperlink ref="A642" r:id="rId48" display="http://www.georgetownbeer.com/" xr:uid="{A43A4F08-8342-9941-A9E5-0CF41B707401}"/>
    <hyperlink ref="A679" r:id="rId49" display="https://www.craftbeer.com/breweries/find-a-us-brewery" xr:uid="{E43AE5E7-98EF-B940-8411-35396F37996C}"/>
    <hyperlink ref="A680" r:id="rId50" display="https://brewersassociation.wufoo.com/forms/m11sr41e006n9kk/" xr:uid="{E7E7CD39-0736-FC45-893F-55DC95EA1AAE}"/>
    <hyperlink ref="A693" r:id="rId51" display="https://coopersmithspub.com/" xr:uid="{FB085909-97D0-2D43-90B9-9D9DA30D97B6}"/>
    <hyperlink ref="A694" r:id="rId52" display="http://www.samueladams.com/" xr:uid="{3DD0DB84-93EA-8640-8211-B50A8344A165}"/>
    <hyperlink ref="A695" r:id="rId53" display="http://brooklynbrewery.com/" xr:uid="{DC3DBA65-C9ED-DE4B-93CA-B98358BF61D7}"/>
    <hyperlink ref="A732" r:id="rId54" display="https://www.craftbeer.com/breweries/find-a-us-brewery" xr:uid="{164BD8E5-748B-C547-A69B-C10932CFA3E4}"/>
    <hyperlink ref="A733" r:id="rId55" display="https://brewersassociation.wufoo.com/forms/m11sr41e006n9kk/" xr:uid="{FDB5F398-D042-F645-8E53-7866377F752D}"/>
    <hyperlink ref="A746" r:id="rId56" display="http://fatheadscleveland.com/" xr:uid="{AAEE3075-0608-A044-97DC-CB49DD0F9122}"/>
    <hyperlink ref="A747" r:id="rId57" display="http://www.melvinbrewing.com/" xr:uid="{DD29005F-528C-0143-9863-F4B74783700B}"/>
    <hyperlink ref="A748" r:id="rId58" display="http://www.surlybrewing.com/" xr:uid="{F2F101C6-1C6E-8F43-8A74-0FD49960D3B4}"/>
    <hyperlink ref="A792" r:id="rId59" display="https://www.weldwerksbrewing.com/" xr:uid="{E54CBBCE-F63F-B64E-8997-25A16B7C45C5}"/>
    <hyperlink ref="A793" r:id="rId60" display="https://www.greatnotionpdx.com/" xr:uid="{D2AFDC78-059B-A94E-BEF6-EFD7E9342892}"/>
    <hyperlink ref="A794" r:id="rId61" display="https://www.cellarmakerbrewing.com/" xr:uid="{0C3A0101-56E1-404F-83AE-37383CD0B124}"/>
    <hyperlink ref="A839" r:id="rId62" display="https://smuttynose.com/" xr:uid="{EC61FDB6-7377-F74B-9570-339D6E9E79E8}"/>
    <hyperlink ref="A840" r:id="rId63" display="http://www.rubiconbrewing.com/" xr:uid="{5A2FCCE5-5745-2B47-A251-B2582851E70B}"/>
    <hyperlink ref="A841" r:id="rId64" display="http://portsmouthbrewery.com/" xr:uid="{32082987-B18A-084F-8202-6F643785ED90}"/>
    <hyperlink ref="A877" r:id="rId65" display="https://www.craftbeer.com/breweries/find-a-us-brewery" xr:uid="{EDC16EAC-D0E6-EF47-8213-846E9BD42D84}"/>
    <hyperlink ref="A878" r:id="rId66" display="https://brewersassociation.wufoo.com/forms/m11sr41e006n9kk/" xr:uid="{EDA3D49F-D9A4-1A42-B8CE-DACBD1BF622A}"/>
    <hyperlink ref="A891" r:id="rId67" display="http://www.telluridebrewingco.com/" xr:uid="{319BF3BD-6DFC-F644-8989-1D0C9A2EEFEF}"/>
    <hyperlink ref="A892" r:id="rId68" display="http://www.bellsbeer.com/" xr:uid="{143A4CA5-DD05-0E44-99CF-8D44DFC741E9}"/>
    <hyperlink ref="A893" r:id="rId69" display="http://www.altitudechophouse.com/" xr:uid="{7E862D17-830E-A844-BF53-5D4AA500EEC6}"/>
    <hyperlink ref="A938" r:id="rId70" display="http://www.portcitybrewing.com/" xr:uid="{CF73381D-E938-8045-ABB4-07C04236F951}"/>
    <hyperlink ref="A939" r:id="rId71" display="http://www.ommegang.com/" xr:uid="{A78AC755-CF1C-744D-BA24-79DFAF70F28F}"/>
    <hyperlink ref="A940" r:id="rId72" display="http://www.allagash.com/" xr:uid="{8B9F247E-2CE7-2340-95A2-976B30B91F15}"/>
    <hyperlink ref="A986" r:id="rId73" display="http://www.ripsneakers.com/nodding/" xr:uid="{B8AB831D-EE40-FA46-BE3D-92E8A7C241A6}"/>
    <hyperlink ref="A987" r:id="rId74" display="http://www.creaturecomfortsbeer.com/" xr:uid="{D9DD3227-CAC3-D74C-84CB-3F890F4FDC03}"/>
    <hyperlink ref="A988" r:id="rId75" display="http://www.thebruery.com/" xr:uid="{D1D12667-C7BA-3142-86A9-A2C8329E1534}"/>
    <hyperlink ref="A1033" r:id="rId76" display="https://www.samueladams.com/" xr:uid="{90EF52C8-5931-334C-B5E6-1C0F84B09DCF}"/>
    <hyperlink ref="A1034" r:id="rId77" display="http://www.shiner.com/" xr:uid="{E937FA6F-18FB-E541-80CA-ED1B0C9BF76B}"/>
    <hyperlink ref="A1035" r:id="rId78" display="https://www.wibbybrewing.com/" xr:uid="{0508CBD8-C2F9-234C-87BB-54F01E5C6D6D}"/>
    <hyperlink ref="A1072" r:id="rId79" display="https://www.craftbeer.com/breweries/find-a-us-brewery" xr:uid="{2A6E2B56-A659-C143-9ED2-E5EC4FD92681}"/>
    <hyperlink ref="A1073" r:id="rId80" display="https://brewersassociation.wufoo.com/forms/m11sr41e006n9kk/" xr:uid="{A0A74D10-2455-EE42-B395-446C6FF08629}"/>
    <hyperlink ref="A1086" r:id="rId81" display="http://www.troegs.com/" xr:uid="{988E1A95-C971-9345-8635-6B9597562621}"/>
    <hyperlink ref="A1087" r:id="rId82" display="http://www.cbpotts.com/" xr:uid="{9225FB19-80EB-8940-934B-E357A9DB82D7}"/>
    <hyperlink ref="A1088" r:id="rId83" display="http://www.twobrothersbrewing.com/" xr:uid="{11EDBF05-E1CA-7145-AB24-1E3D1C1F7CB1}"/>
    <hyperlink ref="A1132" r:id="rId84" display="http://www.sierranevada.com/" xr:uid="{36DEDC7A-4CCF-BC4C-AFA0-01046144AB72}"/>
    <hyperlink ref="A1133" r:id="rId85" display="http://www.alesmith.com/" xr:uid="{051A7B32-55D4-494A-B93A-03C530DDA8E4}"/>
    <hyperlink ref="A1134" r:id="rId86" display="http://www.ninebandbrewing.com/" xr:uid="{A61D99D7-CA1E-E74A-AD9D-433DBDB545DB}"/>
    <hyperlink ref="A1179" r:id="rId87" display="http://www.boxingbearbrewing.com/" xr:uid="{420D8C1C-33B2-AD4D-89CD-9E7209CA8211}"/>
    <hyperlink ref="A1180" r:id="rId88" display="http://www.portbrewing.com/" xr:uid="{82660E6C-B57F-1F41-BC19-0E5E4C24A204}"/>
    <hyperlink ref="A1181" r:id="rId89" display="http://www.ninkasibrewing.com/" xr:uid="{CB9A14D8-406E-3043-B3A0-633337498B16}"/>
    <hyperlink ref="A1219" r:id="rId90" display="https://www.craftbeer.com/breweries/find-a-us-brewery" xr:uid="{4E4A140A-A551-2341-B17B-4C4E6A0C286E}"/>
    <hyperlink ref="A1220" r:id="rId91" display="https://brewersassociation.wufoo.com/forms/m11sr41e006n9kk/" xr:uid="{5BED25DD-7A4C-CD4E-A97A-370D9A6C7CC5}"/>
    <hyperlink ref="A1233" r:id="rId92" display="http://www.weyerbacher.com/" xr:uid="{2D31FC9C-47F3-BF47-A6E8-84880AF9A941}"/>
    <hyperlink ref="A1234" r:id="rId93" display="http://www.northcoastbrewing.com/" xr:uid="{5D9F5F8D-E67B-B243-BB50-C5C6F8CB2216}"/>
    <hyperlink ref="A1235" r:id="rId94" display="http://dicksbeer.com/" xr:uid="{1108A2FD-E1D9-434D-B1EA-4AAF739C652E}"/>
    <hyperlink ref="A1280" r:id="rId95" display="http://www.oldehickorybrewery.com/" xr:uid="{B9608745-7179-BD4B-A7A1-0BC62CDB456A}"/>
    <hyperlink ref="A1281" r:id="rId96" display="http://www.churchbrew.com/" xr:uid="{C4D89888-DBEB-D94E-A562-9C794CED5140}"/>
    <hyperlink ref="A1282" r:id="rId97" display="http://roundaboutbeer.com/" xr:uid="{C2B37CD0-27EE-D841-AF45-D7BEA29342CD}"/>
    <hyperlink ref="A1329" r:id="rId98" display="http://www.allagash.com/" xr:uid="{8DD12EC6-EBE4-7E43-BC20-E4FF51AE09D7}"/>
    <hyperlink ref="A1330" r:id="rId99" display="http://www.marinbrewing.com/" xr:uid="{BE95C7A1-5F6A-2646-ABE5-BF3C8F8ECA8C}"/>
    <hyperlink ref="A1331" r:id="rId100" display="http://www.cannonballcreekbrewing.com/" xr:uid="{1B8441D9-4A1D-004C-ABAD-69E62DE26403}"/>
    <hyperlink ref="A1375" r:id="rId101" display="https://www.avbc.com/" xr:uid="{398F1C3F-6D63-C64F-BD18-5FA8AF94D82F}"/>
    <hyperlink ref="A1376" r:id="rId102" display="http://www.elmcitybrewing.com/" xr:uid="{1EAB4E0D-9D61-B540-A869-41FB85F8F1F5}"/>
    <hyperlink ref="A1377" r:id="rId103" display="http://www.allagash.com/" xr:uid="{9032B298-A536-CC43-9712-1AE84DE62CFC}"/>
    <hyperlink ref="A1423" r:id="rId104" display="http://www.northcoastbrewing.com/" xr:uid="{243A51D3-777F-9043-A52D-150A2F211814}"/>
    <hyperlink ref="A1424" r:id="rId105" display="http://www.brooklynbrewery.com/" xr:uid="{C852CAB2-2E5C-174F-9248-6E9C5247B8B5}"/>
    <hyperlink ref="A1425" r:id="rId106" display="http://www.12degree.com/" xr:uid="{EF26247F-466E-F04E-A978-59AB2DB53169}"/>
    <hyperlink ref="A1471" r:id="rId107" display="http://www.ommegang.com/" xr:uid="{CECB9465-9A86-B941-A4D2-8E1F520C2E74}"/>
    <hyperlink ref="A1472" r:id="rId108" display="http://www.lostabbey.com/" xr:uid="{FBFC0C33-CEEF-1F4B-B2A7-09144CA8C63D}"/>
    <hyperlink ref="A1473" r:id="rId109" display="http://www.russianriverbrewing.com/" xr:uid="{D3DB05E0-19F4-574D-B389-4D5ECF609C93}"/>
    <hyperlink ref="A1517" r:id="rId110" display="http://www.allagash.com/" xr:uid="{3C3C0535-B276-F543-8042-5141C558729C}"/>
    <hyperlink ref="A1518" r:id="rId111" display="https://www.boulevard.com/" xr:uid="{ACCD1BF2-D16C-5F42-AE03-09427F9A5218}"/>
    <hyperlink ref="A1519" r:id="rId112" display="http://www.russianriverbrewing.com/" xr:uid="{2F986833-3C13-7242-9F98-B3BC5AACF8C7}"/>
    <hyperlink ref="A1562" r:id="rId113" display="http://www.funkwerks.com/" xr:uid="{2B4F72EF-7BED-8941-86B3-2D881A435F6C}"/>
    <hyperlink ref="A1563" r:id="rId114" display="http://www.lostabbey.com/" xr:uid="{2A08B2D0-D525-944C-94F5-FFB37134915B}"/>
    <hyperlink ref="A1564" r:id="rId115" display="http://www.ommegang.com/" xr:uid="{6DC92871-1919-7C43-9E2A-421BA871DA15}"/>
    <hyperlink ref="A1611" r:id="rId116" display="http://www.allagash.com/" xr:uid="{FCF8397A-64F8-454A-92B6-0BD3341CD0FD}"/>
    <hyperlink ref="A1612" r:id="rId117" display="http://www.greenflashbrew.com/" xr:uid="{C0A607BB-0307-B44F-AA30-1DB0C6B9F1D2}"/>
    <hyperlink ref="A1613" r:id="rId118" display="https://www.blackbottlebrewery.com/" xr:uid="{86AF74B7-2E17-764D-972D-D1EEECDD7EF8}"/>
    <hyperlink ref="A1658" r:id="rId119" display="http://www.21st-amendment.com/" xr:uid="{FCFB76BF-52DD-7E42-83F4-8ADB198A9BB8}"/>
    <hyperlink ref="A1659" r:id="rId120" display="http://www.newglarusbrewing.com/" xr:uid="{4645F669-770D-584E-AA76-9EA77504BB69}"/>
    <hyperlink ref="A1660" r:id="rId121" display="http://www.detroitbeerco.com/" xr:uid="{FCAFA837-C1AF-0A42-8B7D-E5D23C8418DE}"/>
    <hyperlink ref="A1706" r:id="rId122" display="http://www.twobrothersbrewing.com/" xr:uid="{B3A43FD3-C524-2640-A768-CD9C64B63D0D}"/>
    <hyperlink ref="A1707" r:id="rId123" display="http://www.schlafly.com/" xr:uid="{8A2BD019-CBE3-C04C-AE20-E31E9B0463C4}"/>
    <hyperlink ref="A1708" r:id="rId124" display="http://www.lostabbey.com/" xr:uid="{95870461-4039-B74C-A49E-577C23860146}"/>
    <hyperlink ref="A1753" r:id="rId125" display="http://www.bauhausbrewlabs.com/" xr:uid="{F5679475-A43F-4148-AE01-11095D027801}"/>
    <hyperlink ref="A1754" r:id="rId126" display="http://www.stbcbeer.com/" xr:uid="{F0472C8A-E950-904B-B4D6-2F7260C9BA78}"/>
    <hyperlink ref="A1755" r:id="rId127" display="http://www.steamworksbrewing.com/" xr:uid="{D87460BF-7FDD-B445-9E19-F98B2FF3B5CB}"/>
    <hyperlink ref="A1799" r:id="rId128" display="http://redcypressbrewery.com/" xr:uid="{06329926-DA0F-0D47-B13C-55283EDDC6A6}"/>
    <hyperlink ref="A1800" r:id="rId129" display="http://www.grimmbrosbrewhouse.com/" xr:uid="{5D9BFDC1-86C4-B143-95F7-0D82B29DE5C5}"/>
    <hyperlink ref="A1801" r:id="rId130" display="http://www.publick.com/" xr:uid="{FECC9C68-33F1-4F48-8BA6-53EB80E57475}"/>
    <hyperlink ref="A1839" r:id="rId131" display="https://www.craftbeer.com/breweries/find-a-us-brewery" xr:uid="{21269B5B-0CDD-3447-99BB-936FA9D8C461}"/>
    <hyperlink ref="A1840" r:id="rId132" display="https://brewersassociation.wufoo.com/forms/m11sr41e006n9kk/" xr:uid="{6C8048B1-2080-0643-99CA-D7F9AD6A81A7}"/>
    <hyperlink ref="A1853" r:id="rId133" display="http://www.ornerybeer.com/" xr:uid="{D988E2D0-38D8-0949-AC3B-0096F3B26878}"/>
    <hyperlink ref="A1854" r:id="rId134" display="http://www.lefthandbrewing.com/" xr:uid="{CFF16BB4-4016-A648-A77C-54179E60CACE}"/>
    <hyperlink ref="A1855" r:id="rId135" display="http://www.alaskanbeer.com/" xr:uid="{1F9C7580-C5AF-D642-95B5-719BCABEFAA2}"/>
    <hyperlink ref="A1894" r:id="rId136" display="https://www.craftbeer.com/breweries/find-a-us-brewery" xr:uid="{36F632B5-BDD0-024C-97A1-92D53A9A7288}"/>
    <hyperlink ref="A1895" r:id="rId137" display="https://brewersassociation.wufoo.com/forms/m11sr41e006n9kk/" xr:uid="{6790C4E6-5C60-FB49-9584-DA7CF2C74E13}"/>
    <hyperlink ref="A1908" r:id="rId138" display="http://www.glenwoodcanyon.com/" xr:uid="{EEAA24EF-F93E-C54C-8549-325491CAFE6D}"/>
    <hyperlink ref="A1909" r:id="rId139" display="http://www.greatlakesbrewing.com/" xr:uid="{0371138F-3468-D34E-B7C6-6DB7F7284F1D}"/>
    <hyperlink ref="A1910" r:id="rId140" display="http://www.3floyds.com/" xr:uid="{07276A23-AAF1-AD4C-A8E5-0DE75E1B0E9A}"/>
    <hyperlink ref="A1955" r:id="rId141" display="http://twistedpinebrewing.com/" xr:uid="{12D59EA9-975E-F245-8BAE-A91C82B484E9}"/>
    <hyperlink ref="A1956" r:id="rId142" display="http://www.longtrail.com/" xr:uid="{E13BDE0E-3C12-3447-BA1A-DF7A54567BE3}"/>
    <hyperlink ref="A1957" r:id="rId143" display="http://www.shipyard.com/" xr:uid="{B7F21710-84BC-6843-97AA-9039011D9058}"/>
    <hyperlink ref="A2001" r:id="rId144" display="http://www.duckrabbitbrewery.com/" xr:uid="{6264D48D-F875-BA44-A18E-BB2CE800F1F6}"/>
    <hyperlink ref="A2002" r:id="rId145" display="http://www.smuttynose.com/" xr:uid="{BACAB2A5-F971-9D42-9118-2A1421480FC5}"/>
    <hyperlink ref="A2003" r:id="rId146" location="bottom" display="http://www.lacumbrebrewing.com/ - bottom" xr:uid="{826EFF62-10FF-6A4D-9E54-4C9668479EB3}"/>
    <hyperlink ref="A2048" r:id="rId147" display="http://pineyriverbrewing.com/" xr:uid="{61C14B86-A34E-7C4E-9E9C-E63CEC42C971}"/>
    <hyperlink ref="A2049" r:id="rId148" display="http://www.holycitybrewing.com/" xr:uid="{65C27A49-6D62-7F46-9C70-AB981FBD82A7}"/>
    <hyperlink ref="A2050" r:id="rId149" display="http://www.backeastbrewing.com/home" xr:uid="{97FB9B80-9C31-4447-A7CD-6577BDE8E01E}"/>
    <hyperlink ref="A2094" r:id="rId150" display="http://www.ironhillbrewery.com/" xr:uid="{359478CA-5788-224C-8055-3BB7FC9C66AF}"/>
    <hyperlink ref="A2095" r:id="rId151" display="http://www.rockbottom.com/" xr:uid="{F38D75A9-8C31-ED4A-B9F8-53D02859B2E1}"/>
    <hyperlink ref="A2096" r:id="rId152" display="http://www.deschutesbrewery.com/" xr:uid="{B8189B35-B6C7-4E46-A98A-788CAFDC25D0}"/>
    <hyperlink ref="A2141" r:id="rId153" display="http://www.alaskanbeer.com/" xr:uid="{A84E35E6-509A-9849-9EF8-E7C82A9ABB46}"/>
    <hyperlink ref="A2142" r:id="rId154" display="http://www.stonebrewing.com/" xr:uid="{EF47A9F2-0207-B742-9B42-791F10F6AEFE}"/>
    <hyperlink ref="A2143" r:id="rId155" display="https://www.epicbrewing.com/" xr:uid="{837AB55F-89EF-DC40-83EE-D43801BDDE90}"/>
    <hyperlink ref="A2188" r:id="rId156" display="https://www.bellsbeer.com/" xr:uid="{956AC83A-6CA3-D242-9AD8-71F95E415388}"/>
    <hyperlink ref="A2189" r:id="rId157" display="http://www.northcoastbrewing.com/" xr:uid="{255DDD0B-0DC6-5140-9117-EAF03E139793}"/>
    <hyperlink ref="A2190" r:id="rId158" display="http://www.2spbrewing.com/" xr:uid="{59EEB917-3522-C84C-A2F2-32ADC9870A66}"/>
    <hyperlink ref="A2226" r:id="rId159" display="https://www.craftbeer.com/breweries/find-a-us-brewery" xr:uid="{13C10790-1945-6846-B8B9-0FB762397A32}"/>
    <hyperlink ref="A2227" r:id="rId160" display="https://brewersassociation.wufoo.com/forms/m11sr41e006n9kk/" xr:uid="{D558AE4F-2B0C-234C-8271-6A5C37E2A586}"/>
    <hyperlink ref="A2240" r:id="rId161" display="http://www.rogue.com/" xr:uid="{02550F57-0CF7-D747-9A64-D51E739C3C8B}"/>
    <hyperlink ref="A2241" r:id="rId162" display="http://www.deschutesbrewery.com/" xr:uid="{A993A9DC-C4C6-3749-B2AB-1FF9F828EA73}"/>
    <hyperlink ref="A2242" r:id="rId163" display="http://www.boisebrewing.com/" xr:uid="{F6A88442-EAE8-654E-AE40-087B08B6A95D}"/>
    <hyperlink ref="A2287" r:id="rId164" display="http://www.figmtnbrew.com/" xr:uid="{C5ABF4B7-30DF-7049-BBAA-34CEA4F9FE4C}"/>
    <hyperlink ref="A2288" r:id="rId165" display="http://www.millstreambrewing.com/" xr:uid="{82F8F92E-72E9-674C-AB8A-41BF044E2CAB}"/>
    <hyperlink ref="A2289" r:id="rId166" display="http://www.firestonebeer.com/" xr:uid="{6ADAF790-A7EE-CB41-9DF0-CECACFEAC108}"/>
    <hyperlink ref="A2334" r:id="rId167" display="http://lefthandbrewing.com/" xr:uid="{FA11C8E9-4926-504E-AA3C-0CFCE9FF858A}"/>
    <hyperlink ref="A2335" r:id="rId168" display="http://beachwoodbbq.com/" xr:uid="{B4BA8289-F24D-8E46-A022-36A9AB9F7D71}"/>
    <hyperlink ref="A2336" r:id="rId169" display="http://www.bostonbeer.com/" xr:uid="{74C73BDB-6B4B-8C42-B7EF-041517C5F0FB}"/>
    <hyperlink ref="A2380" r:id="rId170" display="http://www.thirdstreetaleworks.com/BREWERY/Beers.aspx" xr:uid="{7E2F2BB1-AA27-C04C-B7A1-0258F77297B9}"/>
    <hyperlink ref="A2381" r:id="rId171" display="http://www.pizzaport.com/" xr:uid="{B5CE2E52-7088-E647-87B0-0AA96FD1E2EA}"/>
    <hyperlink ref="A2382" r:id="rId172" display="http://www.russianriverbrewing.com/" xr:uid="{644252C1-2A02-8345-A1D7-F0588C7ADD62}"/>
    <hyperlink ref="A2426" r:id="rId173" display="http://www.troegs.com/" xr:uid="{F17DA87C-3561-7F46-BEA2-A556DA2CC0CE}"/>
    <hyperlink ref="A2427" r:id="rId174" display="http://www.tommyknocker.com/" xr:uid="{71A4CB47-5996-6144-9BD7-8DA4790C5FDB}"/>
    <hyperlink ref="A2428" r:id="rId175" display="http://www.greatlakesbrewing.com/" xr:uid="{DD96BDE5-D531-5A45-837B-B089BE98AED6}"/>
    <hyperlink ref="A2472" r:id="rId176" display="https://www.samueladams.com/" xr:uid="{54FBC155-90C7-8D4F-9CD8-3751EE01FA55}"/>
    <hyperlink ref="A2473" r:id="rId177" display="http://www.greatdanepub.com/" xr:uid="{4E3404EA-A9E3-8044-9D95-242ABF08E039}"/>
    <hyperlink ref="A2474" r:id="rId178" display="http://www.bellsbeer.com/" xr:uid="{3731C308-63AC-CD41-9472-343B9B9DBA13}"/>
    <hyperlink ref="A2518" r:id="rId179" display="https://www.abita.com/" xr:uid="{8719C5F5-321C-5044-8C09-8D98C2F9864F}"/>
    <hyperlink ref="A2519" r:id="rId180" display="http://madfoxbrewing.com/" xr:uid="{5D0FF1A6-38DE-D34B-9F41-D54EB80EC62C}"/>
    <hyperlink ref="A2520" r:id="rId181" display="https://smuttynose.com/" xr:uid="{87C1F57C-B8C4-B44D-97F2-9FBB7D68EEC0}"/>
    <hyperlink ref="A2564" r:id="rId182" display="https://www.greatlakesbrewing.com/" xr:uid="{4CB8A400-3AB0-794D-8D1E-A3EEB3646698}"/>
    <hyperlink ref="A2565" r:id="rId183" display="http://www.victorybeer.com/" xr:uid="{6725BEEA-160E-824F-B00D-990805C781A1}"/>
    <hyperlink ref="A2566" r:id="rId184" display="http://www.alesmith.com/" xr:uid="{8A9F6BEC-B018-3546-99A6-C6DA7DECFFF2}"/>
    <hyperlink ref="A2611" r:id="rId185" display="http://drydockbrewing.com/" xr:uid="{3E9A07F3-19A8-1942-AF27-B08E108C0810}"/>
    <hyperlink ref="A2612" r:id="rId186" display="http://www.pizzaport.com/" xr:uid="{73FF1FBE-4CF3-A441-AD57-F69B72235659}"/>
    <hyperlink ref="A2613" r:id="rId187" display="https://realalebrewing.com/" xr:uid="{14D6DC97-087D-C74C-9094-D74F5BCEF98C}"/>
    <hyperlink ref="A2658" r:id="rId188" display="http://www.campbellbrewing.com/" xr:uid="{36283CE0-4DFE-0D46-92FB-58039A41125A}"/>
    <hyperlink ref="A2659" r:id="rId189" display="http://www.mauibrewingco.com/" xr:uid="{4CF83009-6BE0-C142-88C7-4AA3B4B0FBDE}"/>
    <hyperlink ref="A2660" r:id="rId190" display="http://www.saddlemountainbrewing.com/" xr:uid="{7B358C04-3651-D244-AD63-674F48D8861F}"/>
    <hyperlink ref="A2693" r:id="rId191" display="https://www.craftbeer.com/craft-beer-muses/sour-beer-pickle-american-brewing" xr:uid="{1298FDA3-52E2-8E4F-8DF9-658D027CDCBC}"/>
    <hyperlink ref="A2706" r:id="rId192" display="http://www.alesongbrewing.com/" xr:uid="{6B3041B5-38A0-7742-BFA4-63A0BDF3D0CE}"/>
    <hyperlink ref="A2707" r:id="rId193" display="https://www.russianriverbrewing.com/" xr:uid="{096F563F-66BC-9040-87B9-CF04B74BEAD6}"/>
    <hyperlink ref="A2708" r:id="rId194" display="http://www.ardentcraftales.com/" xr:uid="{09CEDF71-B857-0D47-81B2-68883900586B}"/>
    <hyperlink ref="A2754" r:id="rId195" display="http://www.bendbrewingco.com/" xr:uid="{6F9868AE-2CAF-E540-8B9F-CB11F00BC516}"/>
    <hyperlink ref="A2755" r:id="rId196" display="http://www.jesterkingbrewery.com/" xr:uid="{97214A51-8AB6-3B4C-ABBE-4606D804923B}"/>
    <hyperlink ref="A2756" r:id="rId197" display="https://www.karlstrauss.com/" xr:uid="{C2BE7D38-C2EA-4142-813D-CCAFEA435CF6}"/>
    <hyperlink ref="A2803" r:id="rId198" display="http://www.newglarusbrewing.com/" xr:uid="{BF167622-E839-B94C-9C4F-42DC248E33BF}"/>
    <hyperlink ref="A2804" r:id="rId199" display="http://www.thebruery.com/" xr:uid="{5F524B07-4948-944B-9073-4C425B1D6EE2}"/>
    <hyperlink ref="A2805" r:id="rId200" display="http://www.newbelgium.com/" xr:uid="{497E0039-D264-5C45-B3DC-0867BA2F33E3}"/>
    <hyperlink ref="A2851" r:id="rId201" display="http://uplandbeer.com/" xr:uid="{049D2968-BBA7-7544-BD13-9778586A138E}"/>
    <hyperlink ref="A2852" r:id="rId202" display="http://www.allagash.com/" xr:uid="{907E70CF-2AF1-A74C-844E-8DAEDE075C06}"/>
    <hyperlink ref="A2853" r:id="rId203" display="http://tworoadsbrewing.com/" xr:uid="{6CF07C3C-5618-EF43-ABCD-288D7D30AC9F}"/>
    <hyperlink ref="A2900" r:id="rId204" display="http://www.newglarusbrewing.com/" xr:uid="{A00883D9-D9D5-9247-B9A5-7D86DF8C370D}"/>
    <hyperlink ref="A2901" r:id="rId205" display="http://www.uplandbeer.com/" xr:uid="{9BD5D792-2D96-EA42-8963-A1D061ED8792}"/>
    <hyperlink ref="A2902" r:id="rId206" display="http://www.russianriverbrewing.com/" xr:uid="{B2A13F90-9091-AA41-8622-FAEC06859405}"/>
    <hyperlink ref="A2948" r:id="rId207" display="http://www.unioncraftbrewing.com/" xr:uid="{8BA81F0A-E016-A340-9313-62488CC5001B}"/>
    <hyperlink ref="A2949" r:id="rId208" display="http://avbc.com/" xr:uid="{15772F10-142C-7342-A0B2-CBBFF7B052DC}"/>
    <hyperlink ref="A2950" r:id="rId209" display="http://westbrookbrewing.com/" xr:uid="{44364FC7-DA2E-7B43-8FDC-9BAF433ADBF7}"/>
    <hyperlink ref="A2995" r:id="rId210" display="https://www.sixpoint.com/" xr:uid="{8F902C2D-E367-1A49-83E7-5169E16B96DE}"/>
    <hyperlink ref="A2996" r:id="rId211" display="https://www.newglarusbrewing.com/" xr:uid="{1A3ABE96-23D9-8D4D-94D3-EA99AF1D478D}"/>
    <hyperlink ref="A2997" r:id="rId212" display="https://www.otxbc.com/" xr:uid="{3949D60D-44F2-CB4E-81D0-E3480A2E77C6}"/>
    <hyperlink ref="A3040" r:id="rId213" display="http://www.ninkasibrewing.com/" xr:uid="{4CB6BA10-35CD-094F-849E-6D8F0F7D6443}"/>
    <hyperlink ref="A3041" r:id="rId214" display="https://www.oskarblues.com/" xr:uid="{E91E9436-4230-4542-8E27-6AD5C17F8D6C}"/>
    <hyperlink ref="A3042" r:id="rId215" display="https://www.bagbybeer.com/" xr:uid="{E89BF7F2-FEA8-7A46-81AC-BA0A7AE9A1DD}"/>
    <hyperlink ref="A3087" r:id="rId216" display="http://www.greatlakesbrewing.com/" xr:uid="{FA65390D-4D18-0C49-ACA1-FBA1B943838D}"/>
    <hyperlink ref="A3088" r:id="rId217" display="http://bellsbeer.com/" xr:uid="{7835E1D1-4645-2F45-A528-1392EE33C1FD}"/>
    <hyperlink ref="A3089" r:id="rId218" display="https://emmettsbrewingco.com/" xr:uid="{36B020C6-7A95-7443-9955-728AFAA565A0}"/>
    <hyperlink ref="A3125" r:id="rId219" display="https://www.craftbeer.com/breweries/find-a-us-brewery" xr:uid="{B5D085EA-678E-7449-839D-F17B55B68808}"/>
    <hyperlink ref="A3126" r:id="rId220" display="https://brewersassociation.wufoo.com/forms/m11sr41e006n9kk/" xr:uid="{70694012-2EF8-DB46-9E7D-DA77E3AEF3E5}"/>
    <hyperlink ref="A3139" r:id="rId221" display="http://drydockbrewing.com/" xr:uid="{3ED28C3B-49BF-3649-8A2F-EDB47B5AA6FB}"/>
    <hyperlink ref="A3140" r:id="rId222" display="https://www.victorybeer.com/" xr:uid="{9B173CB0-D048-8344-9D8B-4F33948AE25C}"/>
    <hyperlink ref="A3141" r:id="rId223" display="http://theabgb.com/" xr:uid="{70CF3ECA-E0F3-C543-817D-2B2EACD77A6B}"/>
    <hyperlink ref="A3177" r:id="rId224" display="https://www.craftbeer.com/breweries/find-a-us-brewery" xr:uid="{632E0C14-C7DE-0F41-BFB4-5FCA91CD02AF}"/>
    <hyperlink ref="A3178" r:id="rId225" display="https://brewersassociation.wufoo.com/forms/m11sr41e006n9kk/" xr:uid="{E79C3023-C5CD-3042-A284-9BB9898FAE34}"/>
    <hyperlink ref="A3191" r:id="rId226" display="http://www.firestonebeer.com/" xr:uid="{6C1FA72D-EA1C-7046-AA0D-730B33E58172}"/>
    <hyperlink ref="A3192" r:id="rId227" display="http://www.snakeriverbrewing.com/" xr:uid="{FBE4BB86-D9D1-8A47-9348-AE7A809AB530}"/>
    <hyperlink ref="A3193" r:id="rId228" display="http://www.victorybeer.com/" xr:uid="{88CDFE1D-7F8E-1745-AA9A-61B14573FC77}"/>
    <hyperlink ref="A3237" r:id="rId229" display="http://www.firestonebeer.com/" xr:uid="{E843078F-2482-FD4B-8F4D-28FAD3F62150}"/>
    <hyperlink ref="A3238" r:id="rId230" display="http://www.21st-amendment.com/" xr:uid="{55175DC9-D1DC-FC40-A2AF-0C699A821DD4}"/>
    <hyperlink ref="A3239" r:id="rId231" display="http://www.lynnwoodgrill.com/lynnwood-brewing-concern/" xr:uid="{863CA5C6-3DE7-6841-8FBA-8D80203D745A}"/>
    <hyperlink ref="A3282" r:id="rId232" display="http://denverbeerco.com/" xr:uid="{D5D2D8D0-8F88-F14F-84CB-7ECAC896CB94}"/>
    <hyperlink ref="A3283" r:id="rId233" display="http://www.perennialbeer.com/" xr:uid="{4B16A520-D185-1946-A9C5-31F825B8F489}"/>
    <hyperlink ref="A3284" r:id="rId234" display="http://www.firestonebeer.com/" xr:uid="{BDB88994-1016-ED4E-99B4-9888EBF3826A}"/>
    <hyperlink ref="A3323" r:id="rId235" display="https://www.craftbeer.com/breweries/find-a-us-brewery" xr:uid="{E8FCAAE2-5D98-B84F-BC36-21101F6348D4}"/>
    <hyperlink ref="A3324" r:id="rId236" display="https://brewersassociation.wufoo.com/forms/m11sr41e006n9kk/" xr:uid="{CA1B2388-968F-BF43-9695-3BF2825A4301}"/>
    <hyperlink ref="A3337" r:id="rId237" display="http://greatdivide.com/" xr:uid="{CC621DC0-A0EA-2A4F-B911-E770E9929101}"/>
    <hyperlink ref="A3338" r:id="rId238" display="http://brooklynbrewery.com/" xr:uid="{50899422-4FA9-C244-A48D-7454F4ADDC2F}"/>
    <hyperlink ref="A3339" r:id="rId239" display="http://www.zwanzigz.com/" xr:uid="{6974DDE3-7C60-534F-8095-27F473D8A192}"/>
    <hyperlink ref="A3376" r:id="rId240" display="https://www.craftbeer.com/breweries/find-a-us-brewery" xr:uid="{570FBEFF-B2CF-9649-B181-D1766D301478}"/>
    <hyperlink ref="A3377" r:id="rId241" display="https://brewersassociation.wufoo.com/forms/m11sr41e006n9kk/" xr:uid="{EA78FC28-E16C-7B40-B7B1-3FDFBE63019A}"/>
    <hyperlink ref="A3390" r:id="rId242" display="http://www.epicbrewing.com/" xr:uid="{220EDF0E-8FB8-4740-8F92-F742A36D2E1F}"/>
    <hyperlink ref="A3391" r:id="rId243" display="http://alesmith.com/" xr:uid="{E80F3081-959B-7F4E-AFEC-F3209126FF43}"/>
    <hyperlink ref="A3392" r:id="rId244" display="http://georgetownbeer.com/" xr:uid="{324539A1-1A49-7743-878F-406A135305B7}"/>
    <hyperlink ref="A3437" r:id="rId245" display="http://www.vertigobrew.com/" xr:uid="{7D310A28-2BF6-FC44-B366-4E42C50CDA86}"/>
    <hyperlink ref="A3438" r:id="rId246" display="https://www.madbrew.com/" xr:uid="{5E7F04F2-CE72-EB41-9401-DD89A0880335}"/>
    <hyperlink ref="A3439" r:id="rId247" display="http://www.trinitybrew.com/" xr:uid="{0B84B8A2-E1C7-6840-93B0-BA0304E28D5D}"/>
    <hyperlink ref="A3477" r:id="rId248" display="https://www.craftbeer.com/breweries/find-a-us-brewery" xr:uid="{9E6510CA-A67C-7649-9EEA-C967D2D96A8F}"/>
    <hyperlink ref="A3478" r:id="rId249" display="https://brewersassociation.wufoo.com/forms/m11sr41e006n9kk/" xr:uid="{642DB49E-DEC1-8649-AEAD-55199122329A}"/>
    <hyperlink ref="A3491" r:id="rId250" display="http://www.deschutesbrewery.com/" xr:uid="{943176D0-B029-2B42-BD1D-4D216B5E3539}"/>
    <hyperlink ref="A3492" r:id="rId251" display="http://www.rockbottom.com/" xr:uid="{B679F4EF-0634-9647-8999-A8A255710038}"/>
    <hyperlink ref="A3493" r:id="rId252" display="http://www.altbrew.com/" xr:uid="{159C9D29-024F-FA40-997D-D6A3C9C1D009}"/>
    <hyperlink ref="A3539" r:id="rId253" display="http://nodabrewing.com/" xr:uid="{79618116-E121-154C-9F82-6EE4A45C60BF}"/>
    <hyperlink ref="A3540" r:id="rId254" display="http://www.dogfish.com/" xr:uid="{C4559774-59C4-EA41-9A76-D1CC2AD34523}"/>
    <hyperlink ref="A3541" r:id="rId255" display="http://www.lefthandbrewing.com/" xr:uid="{09928323-32F6-5B48-8D74-2B368A380125}"/>
    <hyperlink ref="A3585" r:id="rId256" display="http://greatsouthbaybrewery.com/" xr:uid="{60C2DF6D-DA61-E844-9DBD-A8C2D3DD29AA}"/>
    <hyperlink ref="A3586" r:id="rId257" display="http://twistedpinebrewing.com/" xr:uid="{BA7E5D18-67AC-174F-BC8C-283FD3E99332}"/>
    <hyperlink ref="A3587" r:id="rId258" display="http://www.dogfish.com/" xr:uid="{3FACE3DD-8125-4C41-9201-D817AD2AC7E6}"/>
    <hyperlink ref="A3625" r:id="rId259" display="https://www.craftbeer.com/breweries/find-a-us-brewery" xr:uid="{CF1211F5-8F21-EA4D-8BD6-BD35BE2BA0ED}"/>
    <hyperlink ref="A3626" r:id="rId260" display="https://brewersassociation.wufoo.com/forms/m11sr41e006n9kk/" xr:uid="{1ACD1BCB-10AD-964D-B39E-FAAB083FBF60}"/>
    <hyperlink ref="A3639" r:id="rId261" display="https://www.4nosesbrewing.com/" xr:uid="{B6E2A65D-7CC0-6B42-91A1-7D543FAC103E}"/>
    <hyperlink ref="A3640" r:id="rId262" display="http://www.stbcbeer.com/" xr:uid="{1AB4D3D1-D07E-F546-87A5-0192D75D3663}"/>
    <hyperlink ref="A3641" r:id="rId263" display="http://www.dogfish.com/" xr:uid="{1D74FA34-CBDC-AD4A-A318-8300E051DA53}"/>
    <hyperlink ref="A3686" r:id="rId264" display="http://sweetwaterbrew.com/" xr:uid="{653E31DC-3B82-0245-98AA-32313B393EE6}"/>
    <hyperlink ref="A3687" r:id="rId265" display="http://greatdivide.com/" xr:uid="{5619B2A4-798E-324C-ACD8-277E6B081855}"/>
    <hyperlink ref="A3688" r:id="rId266" display="https://www.breakside.com/" xr:uid="{BC57771A-FE0A-2141-8976-6AAD2369186D}"/>
    <hyperlink ref="A3733" r:id="rId267" display="http://www.perrystreetbrewing.com/" xr:uid="{47028CD9-0EDB-B340-B535-91784A331D95}"/>
    <hyperlink ref="A3734" r:id="rId268" display="http://www.pizzaport.com/" xr:uid="{0BEE4BE9-2C63-4A42-B112-33BEB7133261}"/>
    <hyperlink ref="A3735" r:id="rId269" display="http://www.whitestreetbrewing.com/" xr:uid="{31247F01-3012-4C41-BCF7-D56C7E976BDA}"/>
    <hyperlink ref="A3779" r:id="rId270" display="http://lefthandbrewing.com/" xr:uid="{616A8765-E6C3-B547-8584-624E34436AD2}"/>
    <hyperlink ref="A3780" r:id="rId271" display="https://www.victorybeer.com/" xr:uid="{03B7B0D5-CACB-CD45-B303-91EAF1172F5D}"/>
    <hyperlink ref="A3781" r:id="rId272" display="https://www.wolverinebeer.com/" xr:uid="{1DA4D573-BEF6-0F4A-8E8C-FD16FB949F10}"/>
    <hyperlink ref="A3825" r:id="rId273" display="http://www.deschutesbrewery.com/" xr:uid="{2E80B91E-C49B-BF4A-8EF7-620B3920A44F}"/>
    <hyperlink ref="A3826" r:id="rId274" display="http://www.samueladams.com/" xr:uid="{23045065-77D6-5247-98E7-27ED8CDDD75E}"/>
    <hyperlink ref="A3827" r:id="rId275" display="http://www.highwaterbrewing.com/" xr:uid="{191990FE-69E0-1745-8B21-DB7171C1131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EB2E4-2825-B448-A34E-BD862E401140}">
  <sheetPr codeName="Feuil5"/>
  <dimension ref="A1:XFD160"/>
  <sheetViews>
    <sheetView workbookViewId="0">
      <selection activeCell="D7" sqref="D7"/>
    </sheetView>
  </sheetViews>
  <sheetFormatPr baseColWidth="10" defaultColWidth="0" defaultRowHeight="0" customHeight="1" zeroHeight="1"/>
  <cols>
    <col min="1" max="1" width="10.83203125" style="367" customWidth="1"/>
    <col min="2" max="2" width="10.33203125" style="155" customWidth="1"/>
    <col min="3" max="3" width="17.5" style="155" customWidth="1"/>
    <col min="4" max="10" width="13.33203125" style="155" customWidth="1"/>
    <col min="11" max="11" width="9.1640625" style="155" customWidth="1"/>
    <col min="12" max="12" width="5.83203125" style="155" customWidth="1"/>
    <col min="13" max="13" width="13.33203125" style="155" customWidth="1"/>
    <col min="14" max="14" width="8.1640625" style="155" customWidth="1"/>
    <col min="15" max="15" width="11.33203125" style="155" hidden="1" customWidth="1"/>
    <col min="16" max="16" width="11.5" style="155" hidden="1" customWidth="1"/>
    <col min="17" max="17" width="10.6640625" style="155" hidden="1" customWidth="1"/>
    <col min="18" max="18" width="12" style="155" hidden="1" customWidth="1"/>
    <col min="19" max="19" width="14.6640625" style="155" hidden="1" customWidth="1"/>
    <col min="20" max="20" width="18.6640625" style="367" hidden="1" customWidth="1"/>
    <col min="21" max="21" width="10" style="367" hidden="1" customWidth="1"/>
    <col min="22" max="22" width="10" style="155" hidden="1" customWidth="1"/>
    <col min="23" max="23" width="11" style="155" hidden="1" customWidth="1"/>
    <col min="24" max="28" width="10" style="155" hidden="1" customWidth="1"/>
    <col min="29" max="30" width="10.83203125" style="155" hidden="1" customWidth="1"/>
    <col min="31" max="35" width="10" style="155" hidden="1" customWidth="1"/>
    <col min="36" max="16383" width="10.83203125" style="155" hidden="1"/>
    <col min="16384" max="16384" width="1.33203125" style="776" customWidth="1"/>
  </cols>
  <sheetData>
    <row r="1" spans="2:30 16384:16384" s="367" customFormat="1" ht="17" customHeight="1" thickBot="1">
      <c r="N1" s="477"/>
      <c r="O1" s="477"/>
      <c r="XFD1" s="776"/>
    </row>
    <row r="2" spans="2:30 16384:16384" ht="17" customHeight="1">
      <c r="B2" s="821" t="s">
        <v>146</v>
      </c>
      <c r="C2" s="823" t="s">
        <v>2954</v>
      </c>
      <c r="D2" s="823"/>
      <c r="E2" s="824"/>
      <c r="F2" s="830" t="s">
        <v>513</v>
      </c>
      <c r="G2" s="831"/>
      <c r="H2" s="831"/>
      <c r="I2" s="832"/>
      <c r="J2" s="657" t="s">
        <v>2920</v>
      </c>
      <c r="K2" s="827"/>
      <c r="L2" s="827"/>
      <c r="M2" s="367"/>
      <c r="N2" s="477"/>
      <c r="O2" s="477"/>
      <c r="P2" s="367"/>
      <c r="Q2" s="367"/>
      <c r="R2" s="367"/>
      <c r="S2" s="367"/>
    </row>
    <row r="3" spans="2:30 16384:16384" ht="17" customHeight="1">
      <c r="B3" s="822"/>
      <c r="C3" s="825"/>
      <c r="D3" s="825"/>
      <c r="E3" s="826"/>
      <c r="F3" s="607" t="s">
        <v>1073</v>
      </c>
      <c r="G3" s="159">
        <f>VLOOKUP($F$2,Table2[],13,0)</f>
        <v>1.05</v>
      </c>
      <c r="H3" s="629">
        <f>C4/1000</f>
        <v>1.0368892045454545</v>
      </c>
      <c r="I3" s="381">
        <f>VLOOKUP($F$2,Table2[],14,0)</f>
        <v>1.07</v>
      </c>
      <c r="J3" s="273"/>
      <c r="K3" s="828"/>
      <c r="L3" s="828"/>
      <c r="M3" s="367"/>
      <c r="N3" s="477"/>
      <c r="O3" s="477"/>
      <c r="P3" s="367"/>
      <c r="Q3" s="367"/>
      <c r="R3" s="367"/>
      <c r="S3" s="367"/>
    </row>
    <row r="4" spans="2:30 16384:16384" ht="17" customHeight="1">
      <c r="B4" s="483" t="s">
        <v>1174</v>
      </c>
      <c r="C4" s="625">
        <f>((G37-1000)*E5)+1000</f>
        <v>1036.8892045454545</v>
      </c>
      <c r="D4" s="609" t="s">
        <v>1175</v>
      </c>
      <c r="E4" s="626">
        <f>((C4-1000)*(1-I12))+1000</f>
        <v>1031.3558238636363</v>
      </c>
      <c r="F4" s="607" t="s">
        <v>1074</v>
      </c>
      <c r="G4" s="159">
        <f>VLOOKUP($F$2,Table2[],15,0)</f>
        <v>1.012</v>
      </c>
      <c r="H4" s="629">
        <f>E4/1000</f>
        <v>1.0313558238636362</v>
      </c>
      <c r="I4" s="382">
        <f>VLOOKUP($F$2,Table2[],16,0)</f>
        <v>1.018</v>
      </c>
      <c r="J4" s="273"/>
      <c r="K4" s="829"/>
      <c r="L4" s="829"/>
      <c r="M4" s="367"/>
      <c r="N4" s="477"/>
      <c r="O4" s="477"/>
      <c r="P4" s="367"/>
      <c r="Q4" s="367"/>
      <c r="R4" s="367"/>
      <c r="S4" s="367"/>
    </row>
    <row r="5" spans="2:30 16384:16384" ht="17" customHeight="1" thickBot="1">
      <c r="B5" s="484" t="s">
        <v>30</v>
      </c>
      <c r="C5" s="610">
        <v>12</v>
      </c>
      <c r="D5" s="388" t="s">
        <v>2905</v>
      </c>
      <c r="E5" s="627">
        <v>0.8</v>
      </c>
      <c r="F5" s="607" t="s">
        <v>1075</v>
      </c>
      <c r="G5" s="163">
        <f>VLOOKUP($F$2,Table2[],11,0)/100</f>
        <v>4.8000000000000001E-2</v>
      </c>
      <c r="H5" s="630">
        <f>G38</f>
        <v>1.1952946900187025E-2</v>
      </c>
      <c r="I5" s="383">
        <f>VLOOKUP($F$2,Table2[],12,0)/100</f>
        <v>6.5000000000000002E-2</v>
      </c>
      <c r="J5" s="387"/>
      <c r="K5" s="387"/>
      <c r="L5" s="387"/>
      <c r="M5" s="367"/>
      <c r="N5" s="477"/>
      <c r="O5" s="477"/>
      <c r="P5" s="367"/>
      <c r="Q5" s="367"/>
      <c r="R5" s="367"/>
      <c r="S5" s="367"/>
    </row>
    <row r="6" spans="2:30 16384:16384" ht="17" customHeight="1">
      <c r="B6" s="387"/>
      <c r="C6" s="387"/>
      <c r="D6" s="387"/>
      <c r="E6" s="380"/>
      <c r="F6" s="607" t="s">
        <v>25</v>
      </c>
      <c r="G6" s="164">
        <f>VLOOKUP($F$2,Table2[],17,0)</f>
        <v>25</v>
      </c>
      <c r="H6" s="628">
        <f>SUM(J50:M58)</f>
        <v>54.443373830457197</v>
      </c>
      <c r="I6" s="382">
        <f>VLOOKUP($F$2,Table2[],18,0)</f>
        <v>50</v>
      </c>
      <c r="J6" s="376"/>
      <c r="K6" s="818"/>
      <c r="L6" s="818"/>
      <c r="M6" s="367"/>
      <c r="N6" s="477"/>
      <c r="O6" s="477"/>
      <c r="P6" s="367"/>
      <c r="Q6" s="367"/>
      <c r="R6" s="367"/>
      <c r="S6" s="367"/>
      <c r="Y6" s="320"/>
      <c r="Z6" s="320"/>
      <c r="AA6" s="320"/>
    </row>
    <row r="7" spans="2:30 16384:16384" ht="17" customHeight="1">
      <c r="B7" s="387"/>
      <c r="C7" s="387"/>
      <c r="D7" s="387"/>
      <c r="E7" s="387"/>
      <c r="F7" s="607" t="s">
        <v>3</v>
      </c>
      <c r="G7" s="164">
        <f>VLOOKUP($F$2,Table2[],9,0)</f>
        <v>44</v>
      </c>
      <c r="H7" s="628">
        <f>SUM(S15:S35)+(1.5*(E45/60))</f>
        <v>28.041666666666664</v>
      </c>
      <c r="I7" s="382">
        <f>VLOOKUP($F$2,Table2[],10,0)</f>
        <v>88</v>
      </c>
      <c r="J7" s="377"/>
      <c r="K7" s="819"/>
      <c r="L7" s="819"/>
      <c r="M7" s="367"/>
      <c r="N7" s="477"/>
      <c r="O7" s="477"/>
      <c r="P7" s="367"/>
      <c r="Q7" s="367"/>
      <c r="R7" s="367"/>
      <c r="S7" s="367"/>
      <c r="W7" s="327"/>
      <c r="X7" s="327"/>
      <c r="Y7" s="320"/>
      <c r="Z7" s="320"/>
      <c r="AA7" s="320"/>
    </row>
    <row r="8" spans="2:30 16384:16384" ht="17" customHeight="1" thickBot="1">
      <c r="B8" s="387"/>
      <c r="C8" s="387"/>
      <c r="D8" s="387"/>
      <c r="E8" s="387"/>
      <c r="F8" s="606" t="s">
        <v>1076</v>
      </c>
      <c r="G8" s="166">
        <f>VLOOKUP($F$2,Table2[],25,0)*0.9</f>
        <v>0.56700000000000006</v>
      </c>
      <c r="H8" s="655">
        <f>H6/((H3*1000)-1000)</f>
        <v>1.4758619629049639</v>
      </c>
      <c r="I8" s="384">
        <f>VLOOKUP($F$2,Table2[],25,0)*1.1</f>
        <v>0.69300000000000006</v>
      </c>
      <c r="J8" s="378"/>
      <c r="K8" s="820"/>
      <c r="L8" s="820"/>
      <c r="M8" s="367"/>
      <c r="N8" s="477"/>
      <c r="O8" s="477"/>
      <c r="P8" s="367"/>
      <c r="Q8" s="367"/>
      <c r="R8" s="367"/>
      <c r="S8" s="367"/>
      <c r="W8" s="327"/>
      <c r="Y8" s="320"/>
      <c r="Z8" s="320"/>
      <c r="AA8" s="320"/>
    </row>
    <row r="9" spans="2:30 16384:16384" ht="17" customHeight="1">
      <c r="B9" s="387"/>
      <c r="C9" s="387"/>
      <c r="D9" s="387"/>
      <c r="E9" s="387"/>
      <c r="F9" s="387"/>
      <c r="G9" s="387"/>
      <c r="H9" s="387"/>
      <c r="I9" s="387"/>
      <c r="J9" s="387"/>
      <c r="K9" s="387"/>
      <c r="L9" s="387"/>
      <c r="M9" s="367"/>
      <c r="N9" s="477"/>
      <c r="O9" s="477"/>
      <c r="P9" s="367"/>
      <c r="Q9" s="367"/>
      <c r="R9" s="367"/>
      <c r="S9" s="367"/>
    </row>
    <row r="10" spans="2:30 16384:16384" ht="27" thickBot="1">
      <c r="B10" s="176" t="s">
        <v>19</v>
      </c>
      <c r="C10" s="367"/>
      <c r="D10" s="367"/>
      <c r="E10" s="367"/>
      <c r="F10" s="367"/>
      <c r="G10" s="367"/>
      <c r="H10" s="367"/>
      <c r="I10" s="367"/>
      <c r="J10" s="367"/>
      <c r="K10" s="367"/>
      <c r="L10" s="367"/>
      <c r="M10" s="367"/>
      <c r="N10" s="441"/>
      <c r="O10" s="374"/>
      <c r="P10" s="387"/>
      <c r="Q10" s="375"/>
      <c r="R10" s="833"/>
      <c r="S10" s="833"/>
      <c r="T10" s="833"/>
    </row>
    <row r="11" spans="2:30 16384:16384" ht="17" customHeight="1">
      <c r="B11" s="834" t="s">
        <v>39</v>
      </c>
      <c r="C11" s="835"/>
      <c r="D11" s="835"/>
      <c r="E11" s="836"/>
      <c r="F11" s="368" t="s">
        <v>50</v>
      </c>
      <c r="G11" s="368" t="s">
        <v>310</v>
      </c>
      <c r="H11" s="368" t="s">
        <v>190</v>
      </c>
      <c r="I11" s="368" t="s">
        <v>40</v>
      </c>
      <c r="J11" s="371" t="s">
        <v>49</v>
      </c>
      <c r="K11" s="367"/>
      <c r="L11" s="367"/>
      <c r="M11" s="397"/>
      <c r="N11" s="441"/>
      <c r="O11" s="183"/>
      <c r="P11" s="373"/>
      <c r="Q11" s="183"/>
      <c r="R11" s="837"/>
      <c r="S11" s="837"/>
      <c r="T11" s="837"/>
    </row>
    <row r="12" spans="2:30 16384:16384" ht="17" customHeight="1" thickBot="1">
      <c r="B12" s="839" t="s">
        <v>2949</v>
      </c>
      <c r="C12" s="840"/>
      <c r="D12" s="840"/>
      <c r="E12" s="841"/>
      <c r="F12" s="186" t="str">
        <f>VLOOKUP(B12,BDD!A2:G31,2,0)</f>
        <v>Low Alc Ale</v>
      </c>
      <c r="G12" s="187" t="str">
        <f>VLOOKUP(B12,BDD!A2:G31,3,0)</f>
        <v>-</v>
      </c>
      <c r="H12" s="186" t="str">
        <f>VLOOKUP(B12,BDD!A2:G31,4,0)</f>
        <v>-</v>
      </c>
      <c r="I12" s="187">
        <f>VLOOKUP(B12,BDD!A2:G31,5,0)</f>
        <v>0.15</v>
      </c>
      <c r="J12" s="188" t="str">
        <f>ROUND(VLOOKUP(B12,BDD!A2:G31,6,0),0)&amp;"° - "&amp;ROUND(VLOOKUP(B12,BDD!A2:G31,7,0),0)&amp;"°"</f>
        <v>10° - 25°</v>
      </c>
      <c r="K12" s="367"/>
      <c r="L12" s="367"/>
      <c r="M12" s="397"/>
      <c r="N12" s="441"/>
      <c r="O12" s="183"/>
      <c r="P12" s="373"/>
      <c r="Q12" s="369"/>
      <c r="R12" s="837"/>
      <c r="S12" s="837"/>
      <c r="T12" s="837"/>
    </row>
    <row r="13" spans="2:30 16384:16384" ht="17" customHeight="1" thickBot="1">
      <c r="B13" s="176"/>
      <c r="C13" s="367"/>
      <c r="D13" s="367"/>
      <c r="E13" s="367"/>
      <c r="F13" s="367"/>
      <c r="G13" s="367"/>
      <c r="H13" s="367"/>
      <c r="I13" s="367"/>
      <c r="J13" s="367"/>
      <c r="K13" s="367"/>
      <c r="L13" s="367"/>
      <c r="M13" s="397"/>
      <c r="N13" s="441"/>
      <c r="O13" s="183"/>
      <c r="P13" s="373"/>
      <c r="Q13" s="369"/>
      <c r="R13" s="837"/>
      <c r="S13" s="837"/>
      <c r="T13" s="837"/>
    </row>
    <row r="14" spans="2:30 16384:16384" ht="17" customHeight="1">
      <c r="B14" s="408" t="s">
        <v>153</v>
      </c>
      <c r="C14" s="409"/>
      <c r="D14" s="481" t="s">
        <v>4</v>
      </c>
      <c r="E14" s="413" t="s">
        <v>1192</v>
      </c>
      <c r="F14" s="481" t="s">
        <v>1193</v>
      </c>
      <c r="G14" s="482" t="s">
        <v>1199</v>
      </c>
      <c r="H14" s="803" t="s">
        <v>1177</v>
      </c>
      <c r="I14" s="803"/>
      <c r="J14" s="804"/>
      <c r="K14" s="818"/>
      <c r="L14" s="818"/>
      <c r="M14" s="397"/>
      <c r="N14" s="441"/>
      <c r="O14" s="441"/>
      <c r="P14" s="373"/>
      <c r="Q14" s="369"/>
      <c r="R14" s="842"/>
      <c r="S14" s="842"/>
      <c r="T14" s="842"/>
      <c r="V14" s="368" t="s">
        <v>1163</v>
      </c>
      <c r="W14" s="155" t="s">
        <v>2906</v>
      </c>
    </row>
    <row r="15" spans="2:30 16384:16384" ht="17" customHeight="1">
      <c r="B15" s="800" t="s">
        <v>2915</v>
      </c>
      <c r="C15" s="801"/>
      <c r="D15" s="10">
        <v>1.35</v>
      </c>
      <c r="E15" s="346">
        <f>IF(D15/D$37=0,"",D15/D$37)</f>
        <v>0.75</v>
      </c>
      <c r="F15" s="616">
        <f>IF(ISERROR(VLOOKUP(B15,'BDD Malt Beersmith'!A1:H79,7,0)),"",VLOOKUP(B15,'BDD Malt Beersmith'!A1:H79,7,0))</f>
        <v>1</v>
      </c>
      <c r="G15" s="618">
        <f>IF(ISERROR(IF(D15="","",(((((T15/100)*46)))*D15*2.205)/($C$5*0.264))*100),"",IF(D15="","",(((((T15/100)*46)))*D15*2.205)/($C$5*0.264))*100)</f>
        <v>35.705965909090907</v>
      </c>
      <c r="H15" s="613">
        <v>10</v>
      </c>
      <c r="I15" s="356" t="s">
        <v>1176</v>
      </c>
      <c r="J15" s="391">
        <f>H15/2.205</f>
        <v>4.5351473922902494</v>
      </c>
      <c r="K15" s="838"/>
      <c r="L15" s="838"/>
      <c r="M15" s="397"/>
      <c r="N15" s="441"/>
      <c r="O15" s="441"/>
      <c r="P15" s="373"/>
      <c r="Q15" s="369"/>
      <c r="R15" s="478"/>
      <c r="S15" s="478">
        <f>IF(D15=0,"",IF((D15*1000*U15*0.008)/C$5=0,"",(D15*1000*U15*0.008)/C$5))</f>
        <v>5.3999999999999995</v>
      </c>
      <c r="T15" s="612">
        <f>IF(ISERROR(VLOOKUP(B15,'BDD Malt Beersmith'!A1:H79,8,0)),"",VLOOKUP(B15,'BDD Malt Beersmith'!A1:H79,8,0))</f>
        <v>0.82608695652173914</v>
      </c>
      <c r="U15" s="608">
        <f>IF(ISERROR(VLOOKUP(B15,'BDD Malt Beersmith'!A1:H79,4,0)),"",VLOOKUP(B15,'BDD Malt Beersmith'!A1:H79,4,0))</f>
        <v>6</v>
      </c>
      <c r="V15" s="331">
        <f>((G37-1000)*E5)+1000</f>
        <v>1036.8892045454545</v>
      </c>
      <c r="W15" s="320">
        <f>258.6*((V15/1000)-1)/(0.12+(0.88*(V15/1000)))</f>
        <v>9.2396075358228913</v>
      </c>
      <c r="X15" s="320"/>
      <c r="AA15" s="320"/>
      <c r="AB15" s="320"/>
      <c r="AC15" s="320"/>
      <c r="AD15" s="320"/>
    </row>
    <row r="16" spans="2:30 16384:16384" ht="17" customHeight="1" thickBot="1">
      <c r="B16" s="800" t="s">
        <v>1113</v>
      </c>
      <c r="C16" s="801"/>
      <c r="D16" s="10">
        <v>0.4</v>
      </c>
      <c r="E16" s="346">
        <f t="shared" ref="E16:E35" si="0">IF(D16/D$37=0,"",D16/D$37)</f>
        <v>0.22222222222222224</v>
      </c>
      <c r="F16" s="616">
        <f>IF(ISERROR(VLOOKUP(B16,'BDD Malt Beersmith'!A2:H80,7,0)),"",VLOOKUP(B16,'BDD Malt Beersmith'!A2:H80,7,0))</f>
        <v>0.2</v>
      </c>
      <c r="G16" s="618">
        <f t="shared" ref="G16:G35" si="1">IF(ISERROR(IF(D16="","",(((((T16/100)*46)))*D16*2.205)/($C$5*0.264))*100),"",IF(D16="","",(((((T16/100)*46)))*D16*2.205)/($C$5*0.264))*100)</f>
        <v>9.4659090909090899</v>
      </c>
      <c r="H16" s="614">
        <v>20</v>
      </c>
      <c r="I16" s="389" t="s">
        <v>1167</v>
      </c>
      <c r="J16" s="392">
        <f>H16*28.35</f>
        <v>567</v>
      </c>
      <c r="K16" s="838"/>
      <c r="L16" s="838"/>
      <c r="M16" s="397"/>
      <c r="N16" s="441"/>
      <c r="O16" s="441"/>
      <c r="P16" s="373"/>
      <c r="Q16" s="369"/>
      <c r="R16" s="478"/>
      <c r="S16" s="638">
        <f t="shared" ref="S16:S35" si="2">IF(D16=0,"",IF((D16*1000*U16*0.008)/C$5=0,"",(D16*1000*U16*0.008)/C$5))</f>
        <v>21.066666666666666</v>
      </c>
      <c r="T16" s="612">
        <f>IF(ISERROR(VLOOKUP(B16,'BDD Malt Beersmith'!A2:H80,8,0)),"",VLOOKUP(B16,'BDD Malt Beersmith'!A2:H80,8,0))</f>
        <v>0.73913043478260865</v>
      </c>
      <c r="U16" s="608">
        <f>IF(ISERROR(VLOOKUP(B16,'BDD Malt Beersmith'!A2:H80,4,0)),"",VLOOKUP(B16,'BDD Malt Beersmith'!A2:H80,4,0))</f>
        <v>79</v>
      </c>
      <c r="V16" s="331"/>
      <c r="W16" s="320"/>
      <c r="X16" s="320"/>
      <c r="AA16" s="320"/>
      <c r="AB16" s="320"/>
      <c r="AC16" s="320"/>
      <c r="AD16" s="320"/>
    </row>
    <row r="17" spans="2:30" ht="17" customHeight="1" thickBot="1">
      <c r="B17" s="800" t="s">
        <v>298</v>
      </c>
      <c r="C17" s="801"/>
      <c r="D17" s="10">
        <v>0.05</v>
      </c>
      <c r="E17" s="346">
        <f t="shared" si="0"/>
        <v>2.777777777777778E-2</v>
      </c>
      <c r="F17" s="616">
        <f>IF(ISERROR(VLOOKUP(B17,'BDD Malt Beersmith'!A3:H81,7,0)),"",VLOOKUP(B17,'BDD Malt Beersmith'!A3:H81,7,0))</f>
        <v>0.1</v>
      </c>
      <c r="G17" s="618">
        <f t="shared" si="1"/>
        <v>0.93963068181818188</v>
      </c>
      <c r="H17" s="615">
        <v>158</v>
      </c>
      <c r="I17" s="390">
        <f>(H17-32)*5/9</f>
        <v>70</v>
      </c>
      <c r="J17" s="393">
        <f>J15+(J16/1000)</f>
        <v>5.1021473922902496</v>
      </c>
      <c r="K17" s="838"/>
      <c r="L17" s="838"/>
      <c r="M17" s="397"/>
      <c r="N17" s="441"/>
      <c r="O17" s="441"/>
      <c r="P17" s="373"/>
      <c r="Q17" s="369"/>
      <c r="R17" s="611"/>
      <c r="S17" s="638">
        <f t="shared" si="2"/>
        <v>0.19999999999999998</v>
      </c>
      <c r="T17" s="612">
        <f>IF(ISERROR(VLOOKUP(B17,'BDD Malt Beersmith'!A3:H81,8,0)),"",VLOOKUP(B17,'BDD Malt Beersmith'!A3:H81,8,0))</f>
        <v>0.58695652173913049</v>
      </c>
      <c r="U17" s="608">
        <f>IF(ISERROR(VLOOKUP(B17,'BDD Malt Beersmith'!A3:H81,4,0)),"",VLOOKUP(B17,'BDD Malt Beersmith'!A3:H81,4,0))</f>
        <v>6</v>
      </c>
      <c r="V17" s="331" t="s">
        <v>1077</v>
      </c>
      <c r="W17" s="320"/>
      <c r="X17" s="320"/>
      <c r="AA17" s="320"/>
      <c r="AB17" s="320"/>
      <c r="AC17" s="320"/>
      <c r="AD17" s="320"/>
    </row>
    <row r="18" spans="2:30" ht="17" customHeight="1" thickBot="1">
      <c r="B18" s="800"/>
      <c r="C18" s="801"/>
      <c r="D18" s="10"/>
      <c r="E18" s="346" t="str">
        <f t="shared" si="0"/>
        <v/>
      </c>
      <c r="F18" s="616" t="str">
        <f>IF(ISERROR(VLOOKUP(B18,'BDD Malt Beersmith'!A4:H82,7,0)),"",VLOOKUP(B18,'BDD Malt Beersmith'!A4:H82,7,0))</f>
        <v/>
      </c>
      <c r="G18" s="618" t="str">
        <f t="shared" si="1"/>
        <v/>
      </c>
      <c r="H18" s="379"/>
      <c r="I18" s="379"/>
      <c r="J18" s="385"/>
      <c r="K18" s="838"/>
      <c r="L18" s="838"/>
      <c r="M18" s="397"/>
      <c r="N18" s="441"/>
      <c r="O18" s="183"/>
      <c r="P18" s="373"/>
      <c r="Q18" s="369"/>
      <c r="R18" s="478"/>
      <c r="S18" s="638" t="str">
        <f t="shared" si="2"/>
        <v/>
      </c>
      <c r="T18" s="612" t="str">
        <f>IF(ISERROR(VLOOKUP(B18,'BDD Malt Beersmith'!A4:H82,8,0)),"",VLOOKUP(B18,'BDD Malt Beersmith'!A4:H82,8,0))</f>
        <v/>
      </c>
      <c r="U18" s="608" t="str">
        <f>IF(ISERROR(VLOOKUP(B18,'BDD Malt Beersmith'!A4:H82,4,0)),"",VLOOKUP(B18,'BDD Malt Beersmith'!A4:H82,4,0))</f>
        <v/>
      </c>
      <c r="V18" s="331" t="e">
        <f>(1+(#REF!/(258.6-(0.88*#REF!))))*1000</f>
        <v>#REF!</v>
      </c>
      <c r="W18" s="326" t="e">
        <f>V18/1000</f>
        <v>#REF!</v>
      </c>
      <c r="X18" s="320"/>
      <c r="AA18" s="320"/>
      <c r="AB18" s="320"/>
      <c r="AC18" s="320"/>
      <c r="AD18" s="320"/>
    </row>
    <row r="19" spans="2:30" ht="17" customHeight="1">
      <c r="B19" s="800"/>
      <c r="C19" s="801"/>
      <c r="D19" s="10"/>
      <c r="E19" s="346" t="str">
        <f t="shared" si="0"/>
        <v/>
      </c>
      <c r="F19" s="616" t="str">
        <f>IF(ISERROR(VLOOKUP(B19,'BDD Malt Beersmith'!A5:H83,7,0)),"",VLOOKUP(B19,'BDD Malt Beersmith'!A5:H83,7,0))</f>
        <v/>
      </c>
      <c r="G19" s="618" t="str">
        <f t="shared" si="1"/>
        <v/>
      </c>
      <c r="H19" s="379"/>
      <c r="I19" s="843"/>
      <c r="J19" s="844"/>
      <c r="K19" s="844"/>
      <c r="L19" s="844"/>
      <c r="M19" s="844"/>
      <c r="N19" s="845"/>
      <c r="O19" s="183"/>
      <c r="P19" s="373"/>
      <c r="Q19" s="369"/>
      <c r="R19" s="611"/>
      <c r="S19" s="638" t="str">
        <f t="shared" si="2"/>
        <v/>
      </c>
      <c r="T19" s="612" t="str">
        <f>IF(ISERROR(VLOOKUP(B19,'BDD Malt Beersmith'!A5:H83,8,0)),"",VLOOKUP(B19,'BDD Malt Beersmith'!A5:H83,8,0))</f>
        <v/>
      </c>
      <c r="U19" s="608" t="str">
        <f>IF(ISERROR(VLOOKUP(B19,'BDD Malt Beersmith'!A5:H83,4,0)),"",VLOOKUP(B19,'BDD Malt Beersmith'!A5:H83,4,0))</f>
        <v/>
      </c>
      <c r="V19" s="331"/>
      <c r="W19" s="320"/>
      <c r="X19" s="320"/>
      <c r="AA19" s="320"/>
      <c r="AB19" s="320"/>
      <c r="AC19" s="320"/>
      <c r="AD19" s="320"/>
    </row>
    <row r="20" spans="2:30" ht="17" customHeight="1">
      <c r="B20" s="800"/>
      <c r="C20" s="801"/>
      <c r="D20" s="10"/>
      <c r="E20" s="346" t="str">
        <f t="shared" si="0"/>
        <v/>
      </c>
      <c r="F20" s="616" t="str">
        <f>IF(ISERROR(VLOOKUP(B20,'BDD Malt Beersmith'!A6:H84,7,0)),"",VLOOKUP(B20,'BDD Malt Beersmith'!A6:H84,7,0))</f>
        <v/>
      </c>
      <c r="G20" s="618" t="str">
        <f t="shared" si="1"/>
        <v/>
      </c>
      <c r="H20" s="379"/>
      <c r="I20" s="846"/>
      <c r="J20" s="847"/>
      <c r="K20" s="847"/>
      <c r="L20" s="847"/>
      <c r="M20" s="847"/>
      <c r="N20" s="848"/>
      <c r="O20" s="183"/>
      <c r="P20" s="373"/>
      <c r="Q20" s="369"/>
      <c r="R20" s="478"/>
      <c r="S20" s="638" t="str">
        <f t="shared" si="2"/>
        <v/>
      </c>
      <c r="T20" s="612" t="str">
        <f>IF(ISERROR(VLOOKUP(B20,'BDD Malt Beersmith'!A6:H84,8,0)),"",VLOOKUP(B20,'BDD Malt Beersmith'!A6:H84,8,0))</f>
        <v/>
      </c>
      <c r="U20" s="608" t="str">
        <f>IF(ISERROR(VLOOKUP(B20,'BDD Malt Beersmith'!A6:H84,4,0)),"",VLOOKUP(B20,'BDD Malt Beersmith'!A6:H84,4,0))</f>
        <v/>
      </c>
      <c r="V20" s="331" t="s">
        <v>1164</v>
      </c>
      <c r="W20" s="320"/>
      <c r="X20" s="320"/>
      <c r="AD20" s="326"/>
    </row>
    <row r="21" spans="2:30" ht="17" customHeight="1">
      <c r="B21" s="800"/>
      <c r="C21" s="801"/>
      <c r="D21" s="10"/>
      <c r="E21" s="346" t="str">
        <f t="shared" si="0"/>
        <v/>
      </c>
      <c r="F21" s="616" t="str">
        <f>IF(ISERROR(VLOOKUP(B21,'BDD Malt Beersmith'!A7:H85,7,0)),"",VLOOKUP(B21,'BDD Malt Beersmith'!A7:H85,7,0))</f>
        <v/>
      </c>
      <c r="G21" s="618" t="str">
        <f t="shared" si="1"/>
        <v/>
      </c>
      <c r="H21" s="379"/>
      <c r="I21" s="846"/>
      <c r="J21" s="847"/>
      <c r="K21" s="847"/>
      <c r="L21" s="847"/>
      <c r="M21" s="847"/>
      <c r="N21" s="848"/>
      <c r="O21" s="183"/>
      <c r="P21" s="373"/>
      <c r="Q21" s="369"/>
      <c r="R21" s="611"/>
      <c r="S21" s="638" t="str">
        <f t="shared" si="2"/>
        <v/>
      </c>
      <c r="T21" s="612" t="str">
        <f>IF(ISERROR(VLOOKUP(B21,'BDD Malt Beersmith'!A7:H85,8,0)),"",VLOOKUP(B21,'BDD Malt Beersmith'!A7:H85,8,0))</f>
        <v/>
      </c>
      <c r="U21" s="608" t="str">
        <f>IF(ISERROR(VLOOKUP(B21,'BDD Malt Beersmith'!A7:H85,4,0)),"",VLOOKUP(B21,'BDD Malt Beersmith'!A7:H85,4,0))</f>
        <v/>
      </c>
      <c r="V21" s="331">
        <f>(1+(J8/(258.6-(0.88*J8))))*1000</f>
        <v>1000</v>
      </c>
      <c r="W21" s="326">
        <f>V21/1000</f>
        <v>1</v>
      </c>
      <c r="X21" s="320"/>
      <c r="Y21" s="320"/>
      <c r="AD21" s="326"/>
    </row>
    <row r="22" spans="2:30" ht="17" customHeight="1">
      <c r="B22" s="800"/>
      <c r="C22" s="801"/>
      <c r="D22" s="10"/>
      <c r="E22" s="346" t="str">
        <f t="shared" si="0"/>
        <v/>
      </c>
      <c r="F22" s="616" t="str">
        <f>IF(ISERROR(VLOOKUP(B22,'BDD Malt Beersmith'!A8:H86,7,0)),"",VLOOKUP(B22,'BDD Malt Beersmith'!A8:H86,7,0))</f>
        <v/>
      </c>
      <c r="G22" s="618" t="str">
        <f t="shared" si="1"/>
        <v/>
      </c>
      <c r="H22" s="379"/>
      <c r="I22" s="846"/>
      <c r="J22" s="847"/>
      <c r="K22" s="847"/>
      <c r="L22" s="847"/>
      <c r="M22" s="847"/>
      <c r="N22" s="848"/>
      <c r="O22" s="183"/>
      <c r="P22" s="373"/>
      <c r="Q22" s="369"/>
      <c r="R22" s="611"/>
      <c r="S22" s="638" t="str">
        <f t="shared" si="2"/>
        <v/>
      </c>
      <c r="T22" s="612" t="str">
        <f>IF(ISERROR(VLOOKUP(B22,'BDD Malt Beersmith'!A8:H86,8,0)),"",VLOOKUP(B22,'BDD Malt Beersmith'!A8:H86,8,0))</f>
        <v/>
      </c>
      <c r="U22" s="608" t="str">
        <f>IF(ISERROR(VLOOKUP(B22,'BDD Malt Beersmith'!A8:H86,4,0)),"",VLOOKUP(B22,'BDD Malt Beersmith'!A8:H86,4,0))</f>
        <v/>
      </c>
      <c r="V22" s="331"/>
      <c r="W22" s="320"/>
      <c r="X22" s="320"/>
      <c r="AD22" s="326"/>
    </row>
    <row r="23" spans="2:30" ht="17" customHeight="1">
      <c r="B23" s="800"/>
      <c r="C23" s="801"/>
      <c r="D23" s="10"/>
      <c r="E23" s="346" t="str">
        <f t="shared" si="0"/>
        <v/>
      </c>
      <c r="F23" s="616" t="str">
        <f>IF(ISERROR(VLOOKUP(B23,'BDD Malt Beersmith'!A9:H87,7,0)),"",VLOOKUP(B23,'BDD Malt Beersmith'!A9:H87,7,0))</f>
        <v/>
      </c>
      <c r="G23" s="618" t="str">
        <f t="shared" si="1"/>
        <v/>
      </c>
      <c r="H23" s="379"/>
      <c r="I23" s="846"/>
      <c r="J23" s="847"/>
      <c r="K23" s="847"/>
      <c r="L23" s="847"/>
      <c r="M23" s="847"/>
      <c r="N23" s="848"/>
      <c r="O23" s="183"/>
      <c r="P23" s="373"/>
      <c r="Q23" s="369"/>
      <c r="R23" s="478"/>
      <c r="S23" s="638" t="str">
        <f t="shared" si="2"/>
        <v/>
      </c>
      <c r="T23" s="612" t="str">
        <f>IF(ISERROR(VLOOKUP(B23,'BDD Malt Beersmith'!A9:H87,8,0)),"",VLOOKUP(B23,'BDD Malt Beersmith'!A9:H87,8,0))</f>
        <v/>
      </c>
      <c r="U23" s="608" t="str">
        <f>IF(ISERROR(VLOOKUP(B23,'BDD Malt Beersmith'!A9:H87,4,0)),"",VLOOKUP(B23,'BDD Malt Beersmith'!A9:H87,4,0))</f>
        <v/>
      </c>
      <c r="V23" s="331" t="s">
        <v>1165</v>
      </c>
      <c r="W23" s="320"/>
      <c r="X23" s="320"/>
      <c r="AD23" s="326"/>
    </row>
    <row r="24" spans="2:30" ht="17" customHeight="1">
      <c r="B24" s="800"/>
      <c r="C24" s="801"/>
      <c r="D24" s="10"/>
      <c r="E24" s="346" t="str">
        <f t="shared" si="0"/>
        <v/>
      </c>
      <c r="F24" s="616" t="str">
        <f>IF(ISERROR(VLOOKUP(B24,'BDD Malt Beersmith'!A10:H88,7,0)),"",VLOOKUP(B24,'BDD Malt Beersmith'!A10:H88,7,0))</f>
        <v/>
      </c>
      <c r="G24" s="618" t="str">
        <f t="shared" si="1"/>
        <v/>
      </c>
      <c r="H24" s="379"/>
      <c r="I24" s="846"/>
      <c r="J24" s="847"/>
      <c r="K24" s="847"/>
      <c r="L24" s="847"/>
      <c r="M24" s="847"/>
      <c r="N24" s="848"/>
      <c r="O24" s="183"/>
      <c r="P24" s="373"/>
      <c r="Q24" s="369"/>
      <c r="R24" s="611"/>
      <c r="S24" s="638" t="str">
        <f t="shared" si="2"/>
        <v/>
      </c>
      <c r="T24" s="612" t="str">
        <f>IF(ISERROR(VLOOKUP(B24,'BDD Malt Beersmith'!A10:H88,8,0)),"",VLOOKUP(B24,'BDD Malt Beersmith'!A10:H88,8,0))</f>
        <v/>
      </c>
      <c r="U24" s="608" t="str">
        <f>IF(ISERROR(VLOOKUP(B24,'BDD Malt Beersmith'!A10:H88,4,0)),"",VLOOKUP(B24,'BDD Malt Beersmith'!A10:H88,4,0))</f>
        <v/>
      </c>
      <c r="V24" s="331"/>
      <c r="W24" s="320" t="e">
        <f>(W18-W21)/(W18-1)</f>
        <v>#REF!</v>
      </c>
      <c r="X24" s="320"/>
      <c r="Y24" s="320"/>
      <c r="AD24" s="326"/>
    </row>
    <row r="25" spans="2:30" ht="17" customHeight="1">
      <c r="B25" s="800"/>
      <c r="C25" s="801"/>
      <c r="D25" s="10"/>
      <c r="E25" s="346" t="str">
        <f t="shared" si="0"/>
        <v/>
      </c>
      <c r="F25" s="616" t="str">
        <f>IF(ISERROR(VLOOKUP(B25,'BDD Malt Beersmith'!A11:H89,7,0)),"",VLOOKUP(B25,'BDD Malt Beersmith'!A11:H89,7,0))</f>
        <v/>
      </c>
      <c r="G25" s="618" t="str">
        <f t="shared" si="1"/>
        <v/>
      </c>
      <c r="H25" s="379"/>
      <c r="I25" s="846"/>
      <c r="J25" s="847"/>
      <c r="K25" s="847"/>
      <c r="L25" s="847"/>
      <c r="M25" s="847"/>
      <c r="N25" s="848"/>
      <c r="O25" s="183"/>
      <c r="P25" s="239"/>
      <c r="Q25" s="369"/>
      <c r="R25" s="611"/>
      <c r="S25" s="638" t="str">
        <f t="shared" si="2"/>
        <v/>
      </c>
      <c r="T25" s="612" t="str">
        <f>IF(ISERROR(VLOOKUP(B25,'BDD Malt Beersmith'!A11:H89,8,0)),"",VLOOKUP(B25,'BDD Malt Beersmith'!A11:H89,8,0))</f>
        <v/>
      </c>
      <c r="U25" s="608" t="str">
        <f>IF(ISERROR(VLOOKUP(B25,'BDD Malt Beersmith'!A11:H89,4,0)),"",VLOOKUP(B25,'BDD Malt Beersmith'!A11:H89,4,0))</f>
        <v/>
      </c>
      <c r="V25" s="331"/>
      <c r="W25" s="320"/>
      <c r="X25" s="320"/>
      <c r="AD25" s="326"/>
    </row>
    <row r="26" spans="2:30" ht="17" customHeight="1">
      <c r="B26" s="800"/>
      <c r="C26" s="801"/>
      <c r="D26" s="10"/>
      <c r="E26" s="346" t="str">
        <f t="shared" si="0"/>
        <v/>
      </c>
      <c r="F26" s="616" t="str">
        <f>IF(ISERROR(VLOOKUP(B26,'BDD Malt Beersmith'!A12:H90,7,0)),"",VLOOKUP(B26,'BDD Malt Beersmith'!A12:H90,7,0))</f>
        <v/>
      </c>
      <c r="G26" s="618" t="str">
        <f>IF(ISERROR(IF(D26="","",(((((T26/100)*46)))*D26*2.205)/($C$5*0.264))*100),"",IF(D26="","",(((((T26/100)*46)))*D26*2.205)/($C$5*0.264))*100)</f>
        <v/>
      </c>
      <c r="H26" s="379"/>
      <c r="I26" s="846"/>
      <c r="J26" s="847"/>
      <c r="K26" s="847"/>
      <c r="L26" s="847"/>
      <c r="M26" s="847"/>
      <c r="N26" s="848"/>
      <c r="O26" s="183"/>
      <c r="P26" s="239"/>
      <c r="Q26" s="369"/>
      <c r="R26" s="478"/>
      <c r="S26" s="638" t="str">
        <f t="shared" si="2"/>
        <v/>
      </c>
      <c r="T26" s="612" t="str">
        <f>IF(ISERROR(VLOOKUP(B26,'BDD Malt Beersmith'!A12:H90,8,0)),"",VLOOKUP(B26,'BDD Malt Beersmith'!A12:H90,8,0))</f>
        <v/>
      </c>
      <c r="U26" s="608" t="str">
        <f>IF(ISERROR(VLOOKUP(B26,'BDD Malt Beersmith'!A12:H90,4,0)),"",VLOOKUP(B26,'BDD Malt Beersmith'!A12:H90,4,0))</f>
        <v/>
      </c>
      <c r="V26" s="331" t="s">
        <v>1166</v>
      </c>
      <c r="W26" s="320"/>
      <c r="X26" s="320"/>
      <c r="AD26" s="326"/>
    </row>
    <row r="27" spans="2:30" ht="17" customHeight="1">
      <c r="B27" s="800"/>
      <c r="C27" s="801"/>
      <c r="D27" s="10"/>
      <c r="E27" s="346" t="str">
        <f t="shared" si="0"/>
        <v/>
      </c>
      <c r="F27" s="616" t="str">
        <f>IF(ISERROR(VLOOKUP(B27,'BDD Malt Beersmith'!A13:H91,7,0)),"",VLOOKUP(B27,'BDD Malt Beersmith'!A13:H91,7,0))</f>
        <v/>
      </c>
      <c r="G27" s="618" t="str">
        <f t="shared" si="1"/>
        <v/>
      </c>
      <c r="H27" s="379"/>
      <c r="I27" s="846"/>
      <c r="J27" s="847"/>
      <c r="K27" s="847"/>
      <c r="L27" s="847"/>
      <c r="M27" s="847"/>
      <c r="N27" s="848"/>
      <c r="O27" s="183"/>
      <c r="P27" s="239"/>
      <c r="Q27" s="369"/>
      <c r="R27" s="611"/>
      <c r="S27" s="638" t="str">
        <f t="shared" si="2"/>
        <v/>
      </c>
      <c r="T27" s="612" t="str">
        <f>IF(ISERROR(VLOOKUP(B27,'BDD Malt Beersmith'!A13:H91,8,0)),"",VLOOKUP(B27,'BDD Malt Beersmith'!A13:H91,8,0))</f>
        <v/>
      </c>
      <c r="U27" s="608" t="str">
        <f>IF(ISERROR(VLOOKUP(B27,'BDD Malt Beersmith'!A13:H91,4,0)),"",VLOOKUP(B27,'BDD Malt Beersmith'!A13:H91,4,0))</f>
        <v/>
      </c>
      <c r="V27" s="331"/>
      <c r="W27" s="320" t="e">
        <f>(#REF!-((#REF!*0.19)+(0.82*J8)))/#REF!</f>
        <v>#REF!</v>
      </c>
      <c r="AD27" s="326"/>
    </row>
    <row r="28" spans="2:30" ht="17" customHeight="1">
      <c r="B28" s="800"/>
      <c r="C28" s="801"/>
      <c r="D28" s="10"/>
      <c r="E28" s="346" t="str">
        <f t="shared" si="0"/>
        <v/>
      </c>
      <c r="F28" s="616" t="str">
        <f>IF(ISERROR(VLOOKUP(B28,'BDD Malt Beersmith'!A14:H92,7,0)),"",VLOOKUP(B28,'BDD Malt Beersmith'!A14:H92,7,0))</f>
        <v/>
      </c>
      <c r="G28" s="618" t="str">
        <f t="shared" si="1"/>
        <v/>
      </c>
      <c r="H28" s="379"/>
      <c r="I28" s="846"/>
      <c r="J28" s="847"/>
      <c r="K28" s="847"/>
      <c r="L28" s="847"/>
      <c r="M28" s="847"/>
      <c r="N28" s="848"/>
      <c r="O28" s="183"/>
      <c r="P28" s="239"/>
      <c r="Q28" s="369"/>
      <c r="R28" s="611"/>
      <c r="S28" s="638" t="str">
        <f t="shared" si="2"/>
        <v/>
      </c>
      <c r="T28" s="612" t="str">
        <f>IF(ISERROR(VLOOKUP(B28,'BDD Malt Beersmith'!A14:H92,8,0)),"",VLOOKUP(B28,'BDD Malt Beersmith'!A14:H92,8,0))</f>
        <v/>
      </c>
      <c r="U28" s="608" t="str">
        <f>IF(ISERROR(VLOOKUP(B28,'BDD Malt Beersmith'!A14:H92,4,0)),"",VLOOKUP(B28,'BDD Malt Beersmith'!A14:H92,4,0))</f>
        <v/>
      </c>
      <c r="V28" s="331" t="s">
        <v>25</v>
      </c>
      <c r="W28" s="320"/>
      <c r="X28" s="320"/>
      <c r="AD28" s="326"/>
    </row>
    <row r="29" spans="2:30" ht="17" customHeight="1">
      <c r="B29" s="800"/>
      <c r="C29" s="801"/>
      <c r="D29" s="11"/>
      <c r="E29" s="346" t="str">
        <f t="shared" si="0"/>
        <v/>
      </c>
      <c r="F29" s="616" t="str">
        <f>IF(ISERROR(VLOOKUP(B29,'BDD Malt Beersmith'!A15:H93,7,0)),"",VLOOKUP(B29,'BDD Malt Beersmith'!A15:H93,7,0))</f>
        <v/>
      </c>
      <c r="G29" s="618" t="str">
        <f t="shared" si="1"/>
        <v/>
      </c>
      <c r="H29" s="379"/>
      <c r="I29" s="846"/>
      <c r="J29" s="847"/>
      <c r="K29" s="847"/>
      <c r="L29" s="847"/>
      <c r="M29" s="847"/>
      <c r="N29" s="848"/>
      <c r="O29" s="183"/>
      <c r="P29" s="239"/>
      <c r="Q29" s="369"/>
      <c r="R29" s="478"/>
      <c r="S29" s="638" t="str">
        <f t="shared" si="2"/>
        <v/>
      </c>
      <c r="T29" s="612" t="str">
        <f>IF(ISERROR(VLOOKUP(B29,'BDD Malt Beersmith'!A15:H93,8,0)),"",VLOOKUP(B29,'BDD Malt Beersmith'!A15:H93,8,0))</f>
        <v/>
      </c>
      <c r="U29" s="608" t="str">
        <f>IF(ISERROR(VLOOKUP(B29,'BDD Malt Beersmith'!A15:H93,4,0)),"",VLOOKUP(B29,'BDD Malt Beersmith'!A15:H93,4,0))</f>
        <v/>
      </c>
      <c r="V29" s="331">
        <f>SUM(J50:M58)</f>
        <v>54.443373830457197</v>
      </c>
      <c r="W29" s="320"/>
      <c r="X29" s="320"/>
      <c r="AD29" s="326"/>
    </row>
    <row r="30" spans="2:30" ht="17" customHeight="1">
      <c r="B30" s="592" t="s">
        <v>180</v>
      </c>
      <c r="C30" s="593"/>
      <c r="D30" s="209">
        <f>SUM(D15:D29)</f>
        <v>1.8</v>
      </c>
      <c r="E30" s="346"/>
      <c r="F30" s="616" t="str">
        <f>IF(ISERROR(VLOOKUP(B30,'BDD Malt Beersmith'!A16:H94,7,0)),"",VLOOKUP(B30,'BDD Malt Beersmith'!A16:H94,7,0))</f>
        <v/>
      </c>
      <c r="G30" s="619">
        <f>(SUM(G15:G29)+1000)</f>
        <v>1046.1115056818182</v>
      </c>
      <c r="H30" s="386"/>
      <c r="I30" s="846"/>
      <c r="J30" s="847"/>
      <c r="K30" s="847"/>
      <c r="L30" s="847"/>
      <c r="M30" s="847"/>
      <c r="N30" s="848"/>
      <c r="O30" s="183"/>
      <c r="P30" s="239"/>
      <c r="Q30" s="369"/>
      <c r="R30" s="611"/>
      <c r="S30" s="638"/>
      <c r="T30" s="612"/>
      <c r="U30" s="608"/>
      <c r="V30" s="331"/>
      <c r="W30" s="320"/>
      <c r="X30" s="320"/>
      <c r="AD30" s="326"/>
    </row>
    <row r="31" spans="2:30" ht="17" customHeight="1">
      <c r="B31" s="800"/>
      <c r="C31" s="801"/>
      <c r="D31" s="10"/>
      <c r="E31" s="346" t="str">
        <f t="shared" si="0"/>
        <v/>
      </c>
      <c r="F31" s="616" t="str">
        <f>IF(ISERROR(VLOOKUP(B31,'BDD Malt Beersmith'!A17:H95,7,0)),"",VLOOKUP(B31,'BDD Malt Beersmith'!A17:H95,7,0))</f>
        <v/>
      </c>
      <c r="G31" s="618" t="str">
        <f t="shared" si="1"/>
        <v/>
      </c>
      <c r="H31" s="398"/>
      <c r="I31" s="846"/>
      <c r="J31" s="847"/>
      <c r="K31" s="847"/>
      <c r="L31" s="847"/>
      <c r="M31" s="847"/>
      <c r="N31" s="848"/>
      <c r="O31" s="183"/>
      <c r="P31" s="239"/>
      <c r="Q31" s="369"/>
      <c r="R31" s="611"/>
      <c r="S31" s="638" t="str">
        <f t="shared" si="2"/>
        <v/>
      </c>
      <c r="T31" s="612" t="str">
        <f>IF(ISERROR(VLOOKUP(B31,'BDD Malt Beersmith'!A17:H95,8,0)),"",VLOOKUP(B31,'BDD Malt Beersmith'!A17:H95,8,0))</f>
        <v/>
      </c>
      <c r="U31" s="608" t="str">
        <f>IF(ISERROR(VLOOKUP(B31,'BDD Malt Beersmith'!A17:H95,4,0)),"",VLOOKUP(B31,'BDD Malt Beersmith'!A17:H95,4,0))</f>
        <v/>
      </c>
      <c r="V31" s="330" t="e">
        <f>V29/(V18-1000)*(1+W24-0.7655)</f>
        <v>#REF!</v>
      </c>
      <c r="W31" s="320"/>
      <c r="X31" s="320"/>
      <c r="AD31" s="326"/>
    </row>
    <row r="32" spans="2:30" ht="17" customHeight="1">
      <c r="B32" s="800"/>
      <c r="C32" s="801"/>
      <c r="D32" s="10"/>
      <c r="E32" s="346" t="str">
        <f t="shared" si="0"/>
        <v/>
      </c>
      <c r="F32" s="616" t="str">
        <f>IF(ISERROR(VLOOKUP(B32,'BDD Malt Beersmith'!A18:H96,7,0)),"",VLOOKUP(B32,'BDD Malt Beersmith'!A18:H96,7,0))</f>
        <v/>
      </c>
      <c r="G32" s="618" t="str">
        <f t="shared" si="1"/>
        <v/>
      </c>
      <c r="H32" s="398"/>
      <c r="I32" s="846"/>
      <c r="J32" s="847"/>
      <c r="K32" s="847"/>
      <c r="L32" s="847"/>
      <c r="M32" s="847"/>
      <c r="N32" s="848"/>
      <c r="O32" s="183"/>
      <c r="P32" s="239"/>
      <c r="Q32" s="369"/>
      <c r="R32" s="611"/>
      <c r="S32" s="638" t="str">
        <f t="shared" si="2"/>
        <v/>
      </c>
      <c r="T32" s="612" t="str">
        <f>IF(ISERROR(VLOOKUP(B32,'BDD Malt Beersmith'!A18:H96,8,0)),"",VLOOKUP(B32,'BDD Malt Beersmith'!A18:H96,8,0))</f>
        <v/>
      </c>
      <c r="U32" s="608" t="str">
        <f>IF(ISERROR(VLOOKUP(B32,'BDD Malt Beersmith'!A18:H96,4,0)),"",VLOOKUP(B32,'BDD Malt Beersmith'!A18:H96,4,0))</f>
        <v/>
      </c>
      <c r="V32" s="331"/>
      <c r="W32" s="320"/>
      <c r="X32" s="320"/>
      <c r="AD32" s="326"/>
    </row>
    <row r="33" spans="2:30 16384:16384" ht="17" customHeight="1">
      <c r="B33" s="800"/>
      <c r="C33" s="801"/>
      <c r="D33" s="10"/>
      <c r="E33" s="346" t="str">
        <f t="shared" si="0"/>
        <v/>
      </c>
      <c r="F33" s="616" t="str">
        <f>IF(ISERROR(VLOOKUP(B33,'BDD Malt Beersmith'!A19:H97,7,0)),"",VLOOKUP(B33,'BDD Malt Beersmith'!A19:H97,7,0))</f>
        <v/>
      </c>
      <c r="G33" s="618" t="str">
        <f t="shared" si="1"/>
        <v/>
      </c>
      <c r="H33" s="398"/>
      <c r="I33" s="846"/>
      <c r="J33" s="847"/>
      <c r="K33" s="847"/>
      <c r="L33" s="847"/>
      <c r="M33" s="847"/>
      <c r="N33" s="848"/>
      <c r="O33" s="183"/>
      <c r="P33" s="239"/>
      <c r="Q33" s="369"/>
      <c r="R33" s="478"/>
      <c r="S33" s="638" t="str">
        <f t="shared" si="2"/>
        <v/>
      </c>
      <c r="T33" s="612" t="str">
        <f>IF(ISERROR(VLOOKUP(B33,'BDD Malt Beersmith'!A19:H97,8,0)),"",VLOOKUP(B33,'BDD Malt Beersmith'!A19:H97,8,0))</f>
        <v/>
      </c>
      <c r="U33" s="608" t="str">
        <f>IF(ISERROR(VLOOKUP(B33,'BDD Malt Beersmith'!A19:H97,4,0)),"",VLOOKUP(B33,'BDD Malt Beersmith'!A19:H97,4,0))</f>
        <v/>
      </c>
      <c r="V33" s="331"/>
      <c r="W33" s="320"/>
      <c r="X33" s="320"/>
    </row>
    <row r="34" spans="2:30 16384:16384" ht="17" customHeight="1">
      <c r="B34" s="800"/>
      <c r="C34" s="801"/>
      <c r="D34" s="10"/>
      <c r="E34" s="346" t="str">
        <f t="shared" si="0"/>
        <v/>
      </c>
      <c r="F34" s="616" t="str">
        <f>IF(ISERROR(VLOOKUP(B34,'BDD Malt Beersmith'!A20:H98,7,0)),"",VLOOKUP(B34,'BDD Malt Beersmith'!A20:H98,7,0))</f>
        <v/>
      </c>
      <c r="G34" s="618" t="str">
        <f t="shared" si="1"/>
        <v/>
      </c>
      <c r="H34" s="398"/>
      <c r="I34" s="846"/>
      <c r="J34" s="847"/>
      <c r="K34" s="847"/>
      <c r="L34" s="847"/>
      <c r="M34" s="847"/>
      <c r="N34" s="848"/>
      <c r="O34" s="183"/>
      <c r="P34" s="239"/>
      <c r="Q34" s="369"/>
      <c r="R34" s="611"/>
      <c r="S34" s="638" t="str">
        <f t="shared" si="2"/>
        <v/>
      </c>
      <c r="T34" s="612" t="str">
        <f>IF(ISERROR(VLOOKUP(B34,'BDD Malt Beersmith'!A20:H98,8,0)),"",VLOOKUP(B34,'BDD Malt Beersmith'!A20:H98,8,0))</f>
        <v/>
      </c>
      <c r="U34" s="608" t="str">
        <f>IF(ISERROR(VLOOKUP(B34,'BDD Malt Beersmith'!A20:H98,4,0)),"",VLOOKUP(B34,'BDD Malt Beersmith'!A20:H98,4,0))</f>
        <v/>
      </c>
      <c r="V34" s="331"/>
      <c r="X34" s="320"/>
    </row>
    <row r="35" spans="2:30 16384:16384" ht="17" customHeight="1">
      <c r="B35" s="800"/>
      <c r="C35" s="801"/>
      <c r="D35" s="10"/>
      <c r="E35" s="346" t="str">
        <f t="shared" si="0"/>
        <v/>
      </c>
      <c r="F35" s="616" t="str">
        <f>IF(ISERROR(VLOOKUP(B35,'BDD Malt Beersmith'!A21:H99,7,0)),"",VLOOKUP(B35,'BDD Malt Beersmith'!A21:H99,7,0))</f>
        <v/>
      </c>
      <c r="G35" s="618" t="str">
        <f t="shared" si="1"/>
        <v/>
      </c>
      <c r="H35" s="379"/>
      <c r="I35" s="846"/>
      <c r="J35" s="847"/>
      <c r="K35" s="847"/>
      <c r="L35" s="847"/>
      <c r="M35" s="847"/>
      <c r="N35" s="848"/>
      <c r="O35" s="183"/>
      <c r="P35" s="239"/>
      <c r="Q35" s="369"/>
      <c r="R35" s="611"/>
      <c r="S35" s="638" t="str">
        <f t="shared" si="2"/>
        <v/>
      </c>
      <c r="T35" s="612" t="str">
        <f>IF(ISERROR(VLOOKUP(B35,'BDD Malt Beersmith'!A21:H99,8,0)),"",VLOOKUP(B35,'BDD Malt Beersmith'!A21:H99,8,0))</f>
        <v/>
      </c>
      <c r="U35" s="608" t="str">
        <f>IF(ISERROR(VLOOKUP(B35,'BDD Malt Beersmith'!A21:H99,4,0)),"",VLOOKUP(B35,'BDD Malt Beersmith'!A21:H99,4,0))</f>
        <v/>
      </c>
      <c r="V35" s="331"/>
      <c r="X35" s="320"/>
    </row>
    <row r="36" spans="2:30 16384:16384" ht="17" customHeight="1">
      <c r="B36" s="592" t="s">
        <v>184</v>
      </c>
      <c r="C36" s="593"/>
      <c r="D36" s="209">
        <f>SUM(D31:D35)</f>
        <v>0</v>
      </c>
      <c r="E36" s="210"/>
      <c r="F36" s="617"/>
      <c r="G36" s="619">
        <f>(SUM(G31:G35)+1000)</f>
        <v>1000</v>
      </c>
      <c r="H36" s="386"/>
      <c r="I36" s="846"/>
      <c r="J36" s="847"/>
      <c r="K36" s="847"/>
      <c r="L36" s="847"/>
      <c r="M36" s="847"/>
      <c r="N36" s="848"/>
      <c r="O36" s="183"/>
      <c r="P36" s="239"/>
      <c r="Q36" s="369"/>
      <c r="R36" s="478"/>
      <c r="S36" s="638"/>
      <c r="T36" s="612"/>
      <c r="U36" s="608"/>
      <c r="V36" s="328"/>
      <c r="X36" s="320"/>
    </row>
    <row r="37" spans="2:30 16384:16384" ht="17" customHeight="1" thickBot="1">
      <c r="B37" s="537" t="s">
        <v>1160</v>
      </c>
      <c r="C37" s="594"/>
      <c r="D37" s="219">
        <f>SUM(D30:D35)</f>
        <v>1.8</v>
      </c>
      <c r="E37" s="414"/>
      <c r="F37" s="620"/>
      <c r="G37" s="621">
        <f>(SUM(G15:G29,G31:G35)+1000)</f>
        <v>1046.1115056818182</v>
      </c>
      <c r="H37" s="386"/>
      <c r="I37" s="846"/>
      <c r="J37" s="847"/>
      <c r="K37" s="847"/>
      <c r="L37" s="847"/>
      <c r="M37" s="847"/>
      <c r="N37" s="848"/>
      <c r="O37" s="183"/>
      <c r="P37" s="239"/>
      <c r="Q37" s="369"/>
      <c r="R37" s="611"/>
      <c r="S37" s="638"/>
      <c r="T37" s="612"/>
      <c r="V37" s="329"/>
      <c r="X37" s="320"/>
    </row>
    <row r="38" spans="2:30 16384:16384" ht="17" customHeight="1" thickBot="1">
      <c r="B38" s="367"/>
      <c r="C38" s="367"/>
      <c r="D38" s="367"/>
      <c r="E38" s="367"/>
      <c r="F38" s="367"/>
      <c r="G38" s="622">
        <f>(((((ROUND(1+(W15/(258.6-(0.88*W15))),3))-(ROUND(1+((W15-(W15*$I$12))/(258.6-(0.88*(W15-(W15*$I$12))))),3)))*1.05/(ROUND(1+((W15-(W15*$I$12))/(258.6-(0.88*(W15-(W15*$I$12))))),3))))/0.789)+D131+G127</f>
        <v>1.1952946900187025E-2</v>
      </c>
      <c r="H38" s="224"/>
      <c r="I38" s="849"/>
      <c r="J38" s="850"/>
      <c r="K38" s="850"/>
      <c r="L38" s="850"/>
      <c r="M38" s="850"/>
      <c r="N38" s="851"/>
      <c r="O38" s="183"/>
      <c r="P38" s="239"/>
      <c r="Q38" s="369"/>
      <c r="R38" s="611"/>
      <c r="S38" s="638"/>
      <c r="T38" s="612"/>
      <c r="W38" s="320"/>
    </row>
    <row r="39" spans="2:30 16384:16384" s="367" customFormat="1" ht="27" customHeight="1" thickBot="1">
      <c r="B39" s="227" t="s">
        <v>0</v>
      </c>
      <c r="C39" s="283"/>
      <c r="D39" s="341"/>
      <c r="E39" s="222"/>
      <c r="F39" s="222"/>
      <c r="I39" s="320"/>
      <c r="K39" s="362"/>
      <c r="L39" s="362"/>
      <c r="M39" s="370"/>
      <c r="N39" s="380"/>
      <c r="O39" s="380"/>
      <c r="P39" s="380"/>
      <c r="Q39" s="380"/>
      <c r="R39" s="380"/>
      <c r="S39" s="380"/>
      <c r="T39" s="380"/>
      <c r="V39" s="155"/>
      <c r="W39" s="155"/>
      <c r="X39" s="155"/>
      <c r="Y39" s="155"/>
      <c r="Z39" s="155"/>
      <c r="AA39" s="155"/>
      <c r="AB39" s="155"/>
      <c r="AC39" s="155"/>
      <c r="AD39" s="155"/>
      <c r="XFD39" s="776"/>
    </row>
    <row r="40" spans="2:30 16384:16384" s="367" customFormat="1" ht="17" customHeight="1" thickBot="1">
      <c r="B40" s="387"/>
      <c r="C40" s="161"/>
      <c r="D40" s="284" t="s">
        <v>188</v>
      </c>
      <c r="E40" s="285" t="s">
        <v>12</v>
      </c>
      <c r="G40" s="444"/>
      <c r="H40" s="444"/>
      <c r="I40" s="444"/>
      <c r="J40" s="444"/>
      <c r="L40" s="155"/>
      <c r="M40" s="286"/>
      <c r="N40" s="380"/>
      <c r="O40" s="380"/>
      <c r="P40" s="380"/>
      <c r="Q40" s="380"/>
      <c r="R40" s="380"/>
      <c r="S40" s="380"/>
      <c r="T40" s="380"/>
      <c r="V40" s="155"/>
      <c r="W40" s="155"/>
      <c r="X40" s="155"/>
      <c r="Y40" s="155"/>
      <c r="Z40" s="155"/>
      <c r="AA40" s="155"/>
      <c r="AB40" s="155"/>
      <c r="AC40" s="155"/>
      <c r="AD40" s="155"/>
      <c r="XFD40" s="776"/>
    </row>
    <row r="41" spans="2:30 16384:16384" s="367" customFormat="1" ht="17" customHeight="1">
      <c r="C41" s="366" t="s">
        <v>9</v>
      </c>
      <c r="D41" s="52">
        <v>72</v>
      </c>
      <c r="E41" s="53">
        <v>45</v>
      </c>
      <c r="G41" s="797" t="s">
        <v>160</v>
      </c>
      <c r="H41" s="858" t="s">
        <v>186</v>
      </c>
      <c r="I41" s="858"/>
      <c r="J41" s="859"/>
      <c r="K41" s="287"/>
      <c r="L41" s="286"/>
      <c r="M41" s="286"/>
      <c r="N41" s="380"/>
      <c r="O41" s="380"/>
      <c r="P41" s="380"/>
      <c r="Q41" s="380"/>
      <c r="R41" s="380"/>
      <c r="S41" s="380"/>
      <c r="T41" s="380"/>
      <c r="V41" s="155"/>
      <c r="W41" s="155"/>
      <c r="X41" s="155"/>
      <c r="Y41" s="155"/>
      <c r="Z41" s="155"/>
      <c r="AA41" s="155"/>
      <c r="AB41" s="155"/>
      <c r="AC41" s="155"/>
      <c r="AD41" s="155"/>
      <c r="XFD41" s="776"/>
    </row>
    <row r="42" spans="2:30 16384:16384" s="367" customFormat="1" ht="17" customHeight="1">
      <c r="C42" s="366" t="s">
        <v>10</v>
      </c>
      <c r="D42" s="52"/>
      <c r="E42" s="53"/>
      <c r="G42" s="798"/>
      <c r="H42" s="860"/>
      <c r="I42" s="860"/>
      <c r="J42" s="861"/>
      <c r="K42" s="287"/>
      <c r="L42" s="286"/>
      <c r="M42" s="286"/>
      <c r="N42" s="380"/>
      <c r="O42" s="380"/>
      <c r="P42" s="380"/>
      <c r="Q42" s="380"/>
      <c r="R42" s="380"/>
      <c r="S42" s="380"/>
      <c r="T42" s="380"/>
      <c r="V42" s="155"/>
      <c r="W42" s="155"/>
      <c r="X42" s="155"/>
      <c r="Y42" s="155"/>
      <c r="Z42" s="155"/>
      <c r="AA42" s="155"/>
      <c r="AB42" s="155"/>
      <c r="AC42" s="155"/>
      <c r="AD42" s="155"/>
      <c r="XFD42" s="776"/>
    </row>
    <row r="43" spans="2:30 16384:16384" s="367" customFormat="1" ht="17" customHeight="1">
      <c r="C43" s="366" t="s">
        <v>11</v>
      </c>
      <c r="D43" s="52"/>
      <c r="E43" s="53"/>
      <c r="G43" s="798" t="s">
        <v>161</v>
      </c>
      <c r="H43" s="860" t="s">
        <v>187</v>
      </c>
      <c r="I43" s="860"/>
      <c r="J43" s="861"/>
      <c r="K43" s="287"/>
      <c r="L43" s="286"/>
      <c r="M43" s="286"/>
      <c r="N43" s="380"/>
      <c r="O43" s="380"/>
      <c r="P43" s="380"/>
      <c r="Q43" s="380"/>
      <c r="R43" s="380"/>
      <c r="S43" s="380"/>
      <c r="T43" s="380"/>
      <c r="V43" s="155"/>
      <c r="W43" s="155"/>
      <c r="X43" s="155"/>
      <c r="Y43" s="155"/>
      <c r="Z43" s="155"/>
      <c r="AA43" s="155"/>
      <c r="AB43" s="155"/>
      <c r="AC43" s="155"/>
      <c r="AD43" s="155"/>
      <c r="XFD43" s="776"/>
    </row>
    <row r="44" spans="2:30 16384:16384" s="367" customFormat="1" ht="17" customHeight="1" thickBot="1">
      <c r="C44" s="366" t="s">
        <v>13</v>
      </c>
      <c r="D44" s="52">
        <v>76</v>
      </c>
      <c r="E44" s="53">
        <v>10</v>
      </c>
      <c r="F44" s="288"/>
      <c r="G44" s="799"/>
      <c r="H44" s="862"/>
      <c r="I44" s="862"/>
      <c r="J44" s="863"/>
      <c r="K44" s="287"/>
      <c r="L44" s="286"/>
      <c r="M44" s="286"/>
      <c r="N44" s="380"/>
      <c r="O44" s="380"/>
      <c r="P44" s="380"/>
      <c r="Q44" s="380"/>
      <c r="R44" s="380"/>
      <c r="S44" s="380"/>
      <c r="T44" s="380"/>
      <c r="V44" s="155"/>
      <c r="W44" s="155"/>
      <c r="X44" s="155"/>
      <c r="Y44" s="155"/>
      <c r="Z44" s="155"/>
      <c r="AA44" s="155"/>
      <c r="AB44" s="155"/>
      <c r="AC44" s="155"/>
      <c r="AD44" s="155"/>
      <c r="XFD44" s="776"/>
    </row>
    <row r="45" spans="2:30 16384:16384" s="367" customFormat="1" ht="17" customHeight="1" thickBot="1">
      <c r="C45" s="853" t="s">
        <v>5</v>
      </c>
      <c r="D45" s="854"/>
      <c r="E45" s="289">
        <f>SUM(E41:E44)</f>
        <v>55</v>
      </c>
      <c r="F45" s="288"/>
      <c r="G45" s="444"/>
      <c r="H45" s="444"/>
      <c r="I45" s="444"/>
      <c r="J45" s="444"/>
      <c r="L45" s="286"/>
      <c r="M45" s="286"/>
      <c r="N45" s="380"/>
      <c r="O45" s="380"/>
      <c r="P45" s="380"/>
      <c r="Q45" s="380"/>
      <c r="R45" s="380"/>
      <c r="S45" s="380"/>
      <c r="T45" s="380"/>
      <c r="V45" s="155"/>
      <c r="W45" s="155"/>
      <c r="X45" s="155"/>
      <c r="Y45" s="155"/>
      <c r="Z45" s="155"/>
      <c r="AA45" s="155"/>
      <c r="AB45" s="155"/>
      <c r="AC45" s="155"/>
      <c r="AD45" s="155"/>
      <c r="XFD45" s="776"/>
    </row>
    <row r="46" spans="2:30 16384:16384" s="367" customFormat="1" ht="17" customHeight="1">
      <c r="I46" s="372"/>
      <c r="J46" s="376"/>
      <c r="L46" s="286"/>
      <c r="M46" s="286"/>
      <c r="N46" s="380"/>
      <c r="O46" s="380"/>
      <c r="P46" s="380"/>
      <c r="Q46" s="380"/>
      <c r="R46" s="380"/>
      <c r="S46" s="380"/>
      <c r="T46" s="380"/>
      <c r="V46" s="155"/>
      <c r="W46" s="155"/>
      <c r="X46" s="155"/>
      <c r="Y46" s="155"/>
      <c r="Z46" s="155"/>
      <c r="AA46" s="155"/>
      <c r="AB46" s="155"/>
      <c r="AC46" s="155"/>
      <c r="AD46" s="155"/>
      <c r="XFD46" s="776"/>
    </row>
    <row r="47" spans="2:30 16384:16384" s="367" customFormat="1" ht="27" thickBot="1">
      <c r="B47" s="176" t="s">
        <v>1198</v>
      </c>
      <c r="N47" s="477"/>
      <c r="O47" s="477"/>
      <c r="V47" s="155"/>
      <c r="W47" s="155"/>
      <c r="X47" s="155"/>
      <c r="Y47" s="155"/>
      <c r="Z47" s="155"/>
      <c r="AA47" s="155"/>
      <c r="AB47" s="155"/>
      <c r="AC47" s="155"/>
      <c r="AD47" s="155"/>
      <c r="XFD47" s="776"/>
    </row>
    <row r="48" spans="2:30 16384:16384" s="367" customFormat="1" ht="16">
      <c r="B48" s="812" t="s">
        <v>191</v>
      </c>
      <c r="C48" s="813"/>
      <c r="D48" s="728">
        <v>60</v>
      </c>
      <c r="E48" s="453" t="s">
        <v>307</v>
      </c>
      <c r="F48" s="453" t="s">
        <v>308</v>
      </c>
      <c r="G48" s="453" t="s">
        <v>309</v>
      </c>
      <c r="H48" s="114" t="s">
        <v>1194</v>
      </c>
      <c r="I48" s="864" t="s">
        <v>302</v>
      </c>
      <c r="J48" s="855" t="s">
        <v>25</v>
      </c>
      <c r="K48" s="856"/>
      <c r="L48" s="856"/>
      <c r="M48" s="857"/>
      <c r="N48" s="441"/>
      <c r="O48" s="477"/>
      <c r="V48" s="155"/>
      <c r="W48" s="155"/>
      <c r="X48" s="155"/>
      <c r="Y48" s="155"/>
      <c r="Z48" s="155"/>
      <c r="AA48" s="155"/>
      <c r="AB48" s="155"/>
      <c r="AC48" s="155"/>
      <c r="AD48" s="155"/>
      <c r="XFD48" s="776"/>
    </row>
    <row r="49" spans="2:30 16384:16384" s="367" customFormat="1" ht="17" customHeight="1">
      <c r="B49" s="814" t="s">
        <v>28</v>
      </c>
      <c r="C49" s="815"/>
      <c r="D49" s="415" t="s">
        <v>24</v>
      </c>
      <c r="E49" s="77">
        <v>0</v>
      </c>
      <c r="F49" s="77">
        <v>30</v>
      </c>
      <c r="G49" s="77">
        <v>50</v>
      </c>
      <c r="H49" s="492">
        <f>D48</f>
        <v>60</v>
      </c>
      <c r="I49" s="865"/>
      <c r="J49" s="75" t="s">
        <v>304</v>
      </c>
      <c r="K49" s="867" t="s">
        <v>305</v>
      </c>
      <c r="L49" s="867"/>
      <c r="M49" s="124" t="s">
        <v>306</v>
      </c>
      <c r="N49" s="255"/>
      <c r="O49" s="477"/>
      <c r="V49" s="333"/>
      <c r="W49" s="155"/>
      <c r="X49" s="155"/>
      <c r="Y49" s="155"/>
      <c r="Z49" s="155"/>
      <c r="AA49" s="155"/>
      <c r="AB49" s="155"/>
      <c r="AC49" s="155"/>
      <c r="AD49" s="155"/>
      <c r="XFD49" s="776"/>
    </row>
    <row r="50" spans="2:30 16384:16384" s="367" customFormat="1" ht="17" customHeight="1">
      <c r="B50" s="810" t="s">
        <v>342</v>
      </c>
      <c r="C50" s="811"/>
      <c r="D50" s="12">
        <f>IF(ISERROR(VLOOKUP(B50,BDD!A$35:B$90,2,0)/100),"",VLOOKUP(B50,BDD!A$35:B$90,2,0)/100)</f>
        <v>0.109</v>
      </c>
      <c r="E50" s="72"/>
      <c r="F50" s="72"/>
      <c r="G50" s="72">
        <v>10</v>
      </c>
      <c r="H50" s="115">
        <v>20</v>
      </c>
      <c r="I50" s="115"/>
      <c r="J50" s="76" t="str">
        <f t="shared" ref="J50:K52" si="3">IF(E50="","",(IF($D50="",0,$D50)*E50*1000/$C$5)*(1.65*0.000125^(($C$4/1000)-1))*((1-2.71828^(-0.04*($D$48-E$49)))/4.15))</f>
        <v/>
      </c>
      <c r="K50" s="852" t="str">
        <f t="shared" si="3"/>
        <v/>
      </c>
      <c r="L50" s="852"/>
      <c r="M50" s="480">
        <f>IF(G50="","",(IF($D50="",0,$D50)*G50*1000/$C$5)*(1.65*0.000125^(($C$4/1000)-1))*((1-2.71828^(-0.04*($D$48-G$49)))/4.15))</f>
        <v>8.5465633830192953</v>
      </c>
      <c r="N50" s="476"/>
      <c r="O50" s="477"/>
      <c r="W50" s="155"/>
      <c r="X50" s="155"/>
      <c r="Y50" s="155"/>
      <c r="Z50" s="155"/>
      <c r="AA50" s="155"/>
      <c r="AB50" s="155"/>
      <c r="AC50" s="155"/>
      <c r="AD50" s="155"/>
      <c r="XFD50" s="776"/>
    </row>
    <row r="51" spans="2:30 16384:16384" s="367" customFormat="1" ht="17" customHeight="1">
      <c r="B51" s="810" t="s">
        <v>2953</v>
      </c>
      <c r="C51" s="811"/>
      <c r="D51" s="12">
        <v>6.3E-2</v>
      </c>
      <c r="E51" s="72"/>
      <c r="F51" s="72"/>
      <c r="G51" s="72">
        <v>10</v>
      </c>
      <c r="H51" s="115">
        <v>20</v>
      </c>
      <c r="I51" s="115"/>
      <c r="J51" s="76" t="str">
        <f t="shared" si="3"/>
        <v/>
      </c>
      <c r="K51" s="852" t="str">
        <f t="shared" si="3"/>
        <v/>
      </c>
      <c r="L51" s="852"/>
      <c r="M51" s="480">
        <f>IF(G51="","",(IF($D51="",0,$D51)*G51*1000/$C$5)*(1.65*0.000125^(($C$4/1000)-1))*((1-2.71828^(-0.04*($D$48-G$49)))/4.15))</f>
        <v>4.9397568177084006</v>
      </c>
      <c r="N51" s="476"/>
      <c r="O51" s="477"/>
      <c r="W51" s="155"/>
      <c r="X51" s="155"/>
      <c r="Y51" s="155"/>
      <c r="Z51" s="155"/>
      <c r="AA51" s="155"/>
      <c r="AB51" s="155"/>
      <c r="AC51" s="155"/>
      <c r="AD51" s="155"/>
      <c r="XFD51" s="776"/>
    </row>
    <row r="52" spans="2:30 16384:16384" s="367" customFormat="1" ht="17" customHeight="1">
      <c r="B52" s="810" t="s">
        <v>322</v>
      </c>
      <c r="C52" s="811"/>
      <c r="D52" s="12">
        <f>IF(ISERROR(VLOOKUP(B52,BDD!A$35:B$90,2,0)/100),"",VLOOKUP(B52,BDD!A$35:B$90,2,0)/100)</f>
        <v>0.14000000000000001</v>
      </c>
      <c r="E52" s="73">
        <v>2</v>
      </c>
      <c r="F52" s="73">
        <v>15</v>
      </c>
      <c r="G52" s="73"/>
      <c r="H52" s="116"/>
      <c r="I52" s="116"/>
      <c r="J52" s="76">
        <f t="shared" si="3"/>
        <v>6.0552111818135614</v>
      </c>
      <c r="K52" s="852">
        <f t="shared" si="3"/>
        <v>34.901842447915939</v>
      </c>
      <c r="L52" s="852"/>
      <c r="M52" s="480" t="str">
        <f>IF(G52="","",(IF($D52="",0,$D52)*G52*1000/$C$5)*(1.65*0.000125^(($C$4/1000)-1))*((1-2.71828^(-0.04*($D$48-G$49)))/4.15))</f>
        <v/>
      </c>
      <c r="N52" s="476"/>
      <c r="O52" s="477"/>
      <c r="W52" s="155"/>
      <c r="X52" s="155"/>
      <c r="Y52" s="155"/>
      <c r="Z52" s="155"/>
      <c r="AA52" s="155"/>
      <c r="AB52" s="155"/>
      <c r="AC52" s="155"/>
      <c r="AD52" s="155"/>
      <c r="XFD52" s="776"/>
    </row>
    <row r="53" spans="2:30 16384:16384" s="678" customFormat="1" ht="17" customHeight="1">
      <c r="B53" s="672"/>
      <c r="C53" s="673"/>
      <c r="D53" s="12" t="str">
        <f>IF(ISERROR(VLOOKUP(B53,BDD!A$35:B$90,2,0)/100),"",VLOOKUP(B53,BDD!A$35:B$90,2,0)/100)</f>
        <v/>
      </c>
      <c r="E53" s="73"/>
      <c r="F53" s="73"/>
      <c r="G53" s="73"/>
      <c r="H53" s="116"/>
      <c r="I53" s="116"/>
      <c r="J53" s="76" t="str">
        <f t="shared" ref="J53:J55" si="4">IF(E53="","",(IF($D53="",0,$D53)*E53*1000/$C$5)*(1.65*0.000125^(($C$4/1000)-1))*((1-2.71828^(-0.04*($D$48-E$49)))/4.15))</f>
        <v/>
      </c>
      <c r="K53" s="852" t="str">
        <f t="shared" ref="K53:K55" si="5">IF(F53="","",(IF($D53="",0,$D53)*F53*1000/$C$5)*(1.65*0.000125^(($C$4/1000)-1))*((1-2.71828^(-0.04*($D$48-F$49)))/4.15))</f>
        <v/>
      </c>
      <c r="L53" s="852"/>
      <c r="M53" s="676" t="str">
        <f t="shared" ref="M53:M55" si="6">IF(G53="","",(IF($D53="",0,$D53)*G53*1000/$C$5)*(1.65*0.000125^(($C$4/1000)-1))*((1-2.71828^(-0.04*($D$48-G$49)))/4.15))</f>
        <v/>
      </c>
      <c r="N53" s="677"/>
      <c r="W53" s="155"/>
      <c r="X53" s="155"/>
      <c r="Y53" s="155"/>
      <c r="Z53" s="155"/>
      <c r="AA53" s="155"/>
      <c r="AB53" s="155"/>
      <c r="AC53" s="155"/>
      <c r="AD53" s="155"/>
      <c r="XFD53" s="776"/>
    </row>
    <row r="54" spans="2:30 16384:16384" s="678" customFormat="1" ht="17" customHeight="1">
      <c r="B54" s="672"/>
      <c r="C54" s="673"/>
      <c r="D54" s="12" t="str">
        <f>IF(ISERROR(VLOOKUP(B54,BDD!A$35:B$90,2,0)/100),"",VLOOKUP(B54,BDD!A$35:B$90,2,0)/100)</f>
        <v/>
      </c>
      <c r="E54" s="73"/>
      <c r="F54" s="73"/>
      <c r="G54" s="73"/>
      <c r="H54" s="116"/>
      <c r="I54" s="116"/>
      <c r="J54" s="76" t="str">
        <f t="shared" si="4"/>
        <v/>
      </c>
      <c r="K54" s="852" t="str">
        <f t="shared" si="5"/>
        <v/>
      </c>
      <c r="L54" s="852"/>
      <c r="M54" s="676" t="str">
        <f t="shared" si="6"/>
        <v/>
      </c>
      <c r="N54" s="677"/>
      <c r="W54" s="155"/>
      <c r="X54" s="155"/>
      <c r="Y54" s="155"/>
      <c r="Z54" s="155"/>
      <c r="AA54" s="155"/>
      <c r="AB54" s="155"/>
      <c r="AC54" s="155"/>
      <c r="AD54" s="155"/>
      <c r="XFD54" s="776"/>
    </row>
    <row r="55" spans="2:30 16384:16384" s="678" customFormat="1" ht="17" customHeight="1">
      <c r="B55" s="672"/>
      <c r="C55" s="673"/>
      <c r="D55" s="12" t="str">
        <f>IF(ISERROR(VLOOKUP(B55,BDD!A$35:B$90,2,0)/100),"",VLOOKUP(B55,BDD!A$35:B$90,2,0)/100)</f>
        <v/>
      </c>
      <c r="E55" s="73"/>
      <c r="F55" s="73"/>
      <c r="G55" s="73"/>
      <c r="H55" s="116"/>
      <c r="I55" s="116"/>
      <c r="J55" s="76" t="str">
        <f t="shared" si="4"/>
        <v/>
      </c>
      <c r="K55" s="852" t="str">
        <f t="shared" si="5"/>
        <v/>
      </c>
      <c r="L55" s="852"/>
      <c r="M55" s="676" t="str">
        <f t="shared" si="6"/>
        <v/>
      </c>
      <c r="N55" s="677"/>
      <c r="W55" s="155"/>
      <c r="X55" s="155"/>
      <c r="Y55" s="155"/>
      <c r="Z55" s="155"/>
      <c r="AA55" s="155"/>
      <c r="AB55" s="155"/>
      <c r="AC55" s="155"/>
      <c r="AD55" s="155"/>
      <c r="XFD55" s="776"/>
    </row>
    <row r="56" spans="2:30 16384:16384" s="367" customFormat="1" ht="17" customHeight="1">
      <c r="B56" s="810"/>
      <c r="C56" s="811"/>
      <c r="D56" s="12" t="str">
        <f>IF(ISERROR(VLOOKUP(B56,BDD!A$35:B$90,2,0)/100),"",VLOOKUP(B56,BDD!A$35:B$90,2,0)/100)</f>
        <v/>
      </c>
      <c r="E56" s="73"/>
      <c r="F56" s="73"/>
      <c r="G56" s="73"/>
      <c r="H56" s="116"/>
      <c r="I56" s="116"/>
      <c r="J56" s="76" t="str">
        <f t="shared" ref="J56:K58" si="7">IF(E56="","",(IF($D56="",0,$D56)*E56*1000/$C$5)*(1.65*0.000125^(($C$4/1000)-1))*((1-2.71828^(-0.04*($D$48-E$49)))/4.15))</f>
        <v/>
      </c>
      <c r="K56" s="852" t="str">
        <f t="shared" si="7"/>
        <v/>
      </c>
      <c r="L56" s="852"/>
      <c r="M56" s="480" t="str">
        <f>IF(G56="","",(IF($D56="",0,$D56)*G56*1000/$C$5)*(1.65*0.000125^(($C$4/1000)-1))*((1-2.71828^(-0.04*($D$48-G$49)))/4.15))</f>
        <v/>
      </c>
      <c r="N56" s="476"/>
      <c r="O56" s="477"/>
      <c r="W56" s="155"/>
      <c r="X56" s="155"/>
      <c r="Y56" s="155"/>
      <c r="Z56" s="155"/>
      <c r="AA56" s="155"/>
      <c r="AB56" s="155"/>
      <c r="AC56" s="155"/>
      <c r="AD56" s="155"/>
      <c r="XFD56" s="776"/>
    </row>
    <row r="57" spans="2:30 16384:16384" s="367" customFormat="1" ht="17" customHeight="1">
      <c r="B57" s="810"/>
      <c r="C57" s="811"/>
      <c r="D57" s="12" t="str">
        <f>IF(ISERROR(VLOOKUP(B57,BDD!A$35:B$90,2,0)/100),"",VLOOKUP(B57,BDD!A$35:B$90,2,0)/100)</f>
        <v/>
      </c>
      <c r="E57" s="73"/>
      <c r="F57" s="73"/>
      <c r="G57" s="73"/>
      <c r="H57" s="115"/>
      <c r="I57" s="115"/>
      <c r="J57" s="76" t="str">
        <f t="shared" si="7"/>
        <v/>
      </c>
      <c r="K57" s="852" t="str">
        <f t="shared" si="7"/>
        <v/>
      </c>
      <c r="L57" s="852"/>
      <c r="M57" s="480" t="str">
        <f>IF(G57="","",(IF($D57="",0,$D57)*G57*1000/$C$5)*(1.65*0.000125^(($C$4/1000)-1))*((1-2.71828^(-0.04*($D$48-G$49)))/4.15))</f>
        <v/>
      </c>
      <c r="N57" s="476"/>
      <c r="O57" s="477"/>
      <c r="W57" s="155"/>
      <c r="X57" s="155"/>
      <c r="Y57" s="155"/>
      <c r="Z57" s="155"/>
      <c r="AA57" s="155"/>
      <c r="AB57" s="155"/>
      <c r="AC57" s="155"/>
      <c r="AD57" s="155"/>
      <c r="XFD57" s="776"/>
    </row>
    <row r="58" spans="2:30 16384:16384" s="367" customFormat="1" ht="17" customHeight="1" thickBot="1">
      <c r="B58" s="808"/>
      <c r="C58" s="809"/>
      <c r="D58" s="71" t="str">
        <f>IF(ISERROR(VLOOKUP(B58,BDD!A$35:B$90,2,0)/100),"",VLOOKUP(B58,BDD!A$35:B$90,2,0)/100)</f>
        <v/>
      </c>
      <c r="E58" s="74"/>
      <c r="F58" s="74"/>
      <c r="G58" s="74"/>
      <c r="H58" s="435"/>
      <c r="I58" s="435"/>
      <c r="J58" s="76" t="str">
        <f t="shared" si="7"/>
        <v/>
      </c>
      <c r="K58" s="852" t="str">
        <f t="shared" si="7"/>
        <v/>
      </c>
      <c r="L58" s="852"/>
      <c r="M58" s="480" t="str">
        <f>IF(G58="","",(IF($D58="",0,$D58)*G58*1000/$C$5)*(1.65*0.000125^(($C$4/1000)-1))*((1-2.71828^(-0.04*($D$48-G$49)))/4.15))</f>
        <v/>
      </c>
      <c r="N58" s="476"/>
      <c r="O58" s="477"/>
      <c r="W58" s="155"/>
      <c r="X58" s="155"/>
      <c r="Y58" s="155"/>
      <c r="Z58" s="155"/>
      <c r="AA58" s="155"/>
      <c r="AB58" s="155"/>
      <c r="AC58" s="155"/>
      <c r="AD58" s="155"/>
      <c r="XFD58" s="776"/>
    </row>
    <row r="59" spans="2:30 16384:16384" s="292" customFormat="1" ht="17" hidden="1" customHeight="1">
      <c r="B59" s="293" t="str">
        <f>BDD!A35</f>
        <v>Ahtanum</v>
      </c>
      <c r="C59" s="293"/>
      <c r="D59" s="103"/>
      <c r="E59" s="294"/>
      <c r="F59" s="295"/>
      <c r="G59" s="295"/>
      <c r="H59" s="295"/>
      <c r="I59" s="295"/>
      <c r="J59" s="431" t="str">
        <f>IF(F59="","",(F59*E59*(1.65*(0.000125^((#REF!/1000)-1)))*((1-EXP(-0.04*($D$48-$E$49)))/4.15)*1000)/(K$2*(1+(((#REF!/1000)-1.05)/0.2))))</f>
        <v/>
      </c>
      <c r="K59" s="432" t="str">
        <f>IF(G59="","",(E59*G59*(1.65*(0.000125^((#REF!/1000)-1)))*((1-EXP(-0.04*($D$48-$F$49)))/4.15)*1000)/(K$2*(1+(((#REF!/1000)-1.05)/0.2))))</f>
        <v/>
      </c>
      <c r="L59" s="433"/>
      <c r="M59" s="434"/>
      <c r="N59" s="296"/>
      <c r="O59" s="296"/>
      <c r="P59" s="297"/>
      <c r="Q59" s="298"/>
      <c r="R59" s="298"/>
      <c r="U59" s="387"/>
      <c r="XFD59" s="441"/>
    </row>
    <row r="60" spans="2:30 16384:16384" s="292" customFormat="1" ht="17" hidden="1" customHeight="1">
      <c r="B60" s="293" t="str">
        <f>BDD!A36</f>
        <v>Amarillo</v>
      </c>
      <c r="C60" s="293"/>
      <c r="D60" s="103"/>
      <c r="E60" s="294"/>
      <c r="F60" s="295"/>
      <c r="G60" s="295"/>
      <c r="H60" s="295"/>
      <c r="I60" s="295"/>
      <c r="J60" s="76" t="str">
        <f>IF(F60="","",(F60*E60*(1.65*(0.000125^((#REF!/1000)-1)))*((1-EXP(-0.04*($D$48-$E$49)))/4.15)*1000)/(K$2*(1+(((#REF!/1000)-1.05)/0.2))))</f>
        <v/>
      </c>
      <c r="K60" s="365" t="str">
        <f>IF(G60="","",(E60*G60*(1.65*(0.000125^((#REF!/1000)-1)))*((1-EXP(-0.04*($D$48-$F$49)))/4.15)*1000)/(K$2*(1+(((#REF!/1000)-1.05)/0.2))))</f>
        <v/>
      </c>
      <c r="L60" s="117"/>
      <c r="M60" s="118"/>
      <c r="N60" s="296"/>
      <c r="O60" s="296"/>
      <c r="P60" s="297"/>
      <c r="Q60" s="298"/>
      <c r="R60" s="298"/>
      <c r="U60" s="387"/>
      <c r="XFD60" s="441"/>
    </row>
    <row r="61" spans="2:30 16384:16384" s="292" customFormat="1" ht="17" hidden="1" customHeight="1">
      <c r="B61" s="293" t="str">
        <f>BDD!A37</f>
        <v>Brewers gold</v>
      </c>
      <c r="C61" s="293"/>
      <c r="D61" s="103"/>
      <c r="E61" s="294"/>
      <c r="F61" s="295"/>
      <c r="G61" s="295"/>
      <c r="H61" s="295"/>
      <c r="I61" s="295"/>
      <c r="J61" s="76" t="str">
        <f>IF(F61="","",(F61*E61*(1.65*(0.000125^((#REF!/1000)-1)))*((1-EXP(-0.04*($D$48-$E$49)))/4.15)*1000)/(K$2*(1+(((#REF!/1000)-1.05)/0.2))))</f>
        <v/>
      </c>
      <c r="K61" s="365" t="str">
        <f>IF(G61="","",(E61*G61*(1.65*(0.000125^((#REF!/1000)-1)))*((1-EXP(-0.04*($D$48-$F$49)))/4.15)*1000)/(K$2*(1+(((#REF!/1000)-1.05)/0.2))))</f>
        <v/>
      </c>
      <c r="L61" s="117"/>
      <c r="M61" s="118"/>
      <c r="N61" s="296"/>
      <c r="O61" s="296"/>
      <c r="P61" s="297"/>
      <c r="Q61" s="298"/>
      <c r="R61" s="298"/>
      <c r="U61" s="387"/>
      <c r="XFD61" s="441"/>
    </row>
    <row r="62" spans="2:30 16384:16384" s="292" customFormat="1" ht="17" hidden="1" customHeight="1">
      <c r="B62" s="293" t="str">
        <f>BDD!A38</f>
        <v>Cascade</v>
      </c>
      <c r="C62" s="293"/>
      <c r="D62" s="103"/>
      <c r="E62" s="294"/>
      <c r="F62" s="295"/>
      <c r="G62" s="295"/>
      <c r="H62" s="295"/>
      <c r="I62" s="295"/>
      <c r="J62" s="76" t="str">
        <f>IF(F62="","",(F62*E62*(1.65*(0.000125^((#REF!/1000)-1)))*((1-EXP(-0.04*($D$48-$E$49)))/4.15)*1000)/(K$2*(1+(((#REF!/1000)-1.05)/0.2))))</f>
        <v/>
      </c>
      <c r="K62" s="365" t="str">
        <f>IF(G62="","",(E62*G62*(1.65*(0.000125^((#REF!/1000)-1)))*((1-EXP(-0.04*($D$48-$F$49)))/4.15)*1000)/(K$2*(1+(((#REF!/1000)-1.05)/0.2))))</f>
        <v/>
      </c>
      <c r="L62" s="117"/>
      <c r="M62" s="118"/>
      <c r="N62" s="296"/>
      <c r="O62" s="296"/>
      <c r="P62" s="297"/>
      <c r="Q62" s="298"/>
      <c r="R62" s="298"/>
      <c r="U62" s="387"/>
      <c r="XFD62" s="441"/>
    </row>
    <row r="63" spans="2:30 16384:16384" s="292" customFormat="1" ht="17" hidden="1" customHeight="1">
      <c r="B63" s="293" t="str">
        <f>BDD!A39</f>
        <v>Cascade Suisse</v>
      </c>
      <c r="C63" s="293"/>
      <c r="D63" s="103"/>
      <c r="E63" s="294"/>
      <c r="F63" s="295"/>
      <c r="G63" s="295"/>
      <c r="H63" s="295"/>
      <c r="I63" s="295"/>
      <c r="J63" s="76" t="str">
        <f>IF(F63="","",(F63*E63*(1.65*(0.000125^((#REF!/1000)-1)))*((1-EXP(-0.04*($D$48-$E$49)))/4.15)*1000)/(K$2*(1+(((#REF!/1000)-1.05)/0.2))))</f>
        <v/>
      </c>
      <c r="K63" s="365" t="str">
        <f>IF(G63="","",(E63*G63*(1.65*(0.000125^((#REF!/1000)-1)))*((1-EXP(-0.04*($D$48-$F$49)))/4.15)*1000)/(K$2*(1+(((#REF!/1000)-1.05)/0.2))))</f>
        <v/>
      </c>
      <c r="L63" s="117"/>
      <c r="M63" s="118"/>
      <c r="N63" s="296"/>
      <c r="O63" s="296"/>
      <c r="P63" s="297"/>
      <c r="Q63" s="298"/>
      <c r="R63" s="298"/>
      <c r="U63" s="387"/>
      <c r="XFD63" s="441"/>
    </row>
    <row r="64" spans="2:30 16384:16384" s="292" customFormat="1" ht="17" hidden="1" customHeight="1">
      <c r="B64" s="293" t="str">
        <f>BDD!A40</f>
        <v>Cascade Suisse Bio</v>
      </c>
      <c r="C64" s="293"/>
      <c r="D64" s="103"/>
      <c r="E64" s="294"/>
      <c r="F64" s="295"/>
      <c r="G64" s="295"/>
      <c r="H64" s="295"/>
      <c r="I64" s="295"/>
      <c r="J64" s="76" t="str">
        <f>IF(F64="","",(F64*E64*(1.65*(0.000125^((#REF!/1000)-1)))*((1-EXP(-0.04*($D$48-$E$49)))/4.15)*1000)/(K$2*(1+(((#REF!/1000)-1.05)/0.2))))</f>
        <v/>
      </c>
      <c r="K64" s="365" t="str">
        <f>IF(G64="","",(E64*G64*(1.65*(0.000125^((#REF!/1000)-1)))*((1-EXP(-0.04*($D$48-$F$49)))/4.15)*1000)/(K$2*(1+(((#REF!/1000)-1.05)/0.2))))</f>
        <v/>
      </c>
      <c r="L64" s="117"/>
      <c r="M64" s="118"/>
      <c r="N64" s="296"/>
      <c r="O64" s="296"/>
      <c r="P64" s="297"/>
      <c r="Q64" s="298"/>
      <c r="R64" s="298"/>
      <c r="U64" s="387"/>
      <c r="XFD64" s="441"/>
    </row>
    <row r="65" spans="2:21 16384:16384" s="292" customFormat="1" ht="17" hidden="1" customHeight="1">
      <c r="B65" s="293" t="str">
        <f>BDD!A41</f>
        <v>Challenger</v>
      </c>
      <c r="C65" s="293"/>
      <c r="D65" s="103"/>
      <c r="E65" s="294"/>
      <c r="F65" s="295"/>
      <c r="G65" s="295"/>
      <c r="H65" s="295"/>
      <c r="I65" s="295"/>
      <c r="J65" s="76" t="str">
        <f>IF(F65="","",(F65*E65*(1.65*(0.000125^((#REF!/1000)-1)))*((1-EXP(-0.04*($D$48-$E$49)))/4.15)*1000)/(K$2*(1+(((#REF!/1000)-1.05)/0.2))))</f>
        <v/>
      </c>
      <c r="K65" s="365" t="str">
        <f>IF(G65="","",(E65*G65*(1.65*(0.000125^((#REF!/1000)-1)))*((1-EXP(-0.04*($D$48-$F$49)))/4.15)*1000)/(K$2*(1+(((#REF!/1000)-1.05)/0.2))))</f>
        <v/>
      </c>
      <c r="L65" s="117"/>
      <c r="M65" s="118"/>
      <c r="N65" s="296"/>
      <c r="O65" s="296"/>
      <c r="P65" s="297"/>
      <c r="Q65" s="298"/>
      <c r="R65" s="298"/>
      <c r="U65" s="387"/>
      <c r="XFD65" s="441"/>
    </row>
    <row r="66" spans="2:21 16384:16384" s="292" customFormat="1" ht="17" hidden="1" customHeight="1">
      <c r="B66" s="293" t="str">
        <f>BDD!A42</f>
        <v>Chinook</v>
      </c>
      <c r="C66" s="293"/>
      <c r="D66" s="103"/>
      <c r="E66" s="294"/>
      <c r="F66" s="295"/>
      <c r="G66" s="295"/>
      <c r="H66" s="295"/>
      <c r="I66" s="295"/>
      <c r="J66" s="76" t="str">
        <f>IF(F66="","",(F66*E66*(1.65*(0.000125^((#REF!/1000)-1)))*((1-EXP(-0.04*($D$48-$E$49)))/4.15)*1000)/(K$2*(1+(((#REF!/1000)-1.05)/0.2))))</f>
        <v/>
      </c>
      <c r="K66" s="365" t="str">
        <f>IF(G66="","",(E66*G66*(1.65*(0.000125^((#REF!/1000)-1)))*((1-EXP(-0.04*($D$48-$F$49)))/4.15)*1000)/(K$2*(1+(((#REF!/1000)-1.05)/0.2))))</f>
        <v/>
      </c>
      <c r="L66" s="117"/>
      <c r="M66" s="118"/>
      <c r="N66" s="296"/>
      <c r="O66" s="296"/>
      <c r="P66" s="297"/>
      <c r="Q66" s="298"/>
      <c r="R66" s="298"/>
      <c r="U66" s="387"/>
      <c r="XFD66" s="441"/>
    </row>
    <row r="67" spans="2:21 16384:16384" s="292" customFormat="1" ht="17" hidden="1" customHeight="1">
      <c r="B67" s="293" t="str">
        <f>BDD!A43</f>
        <v>Centennial</v>
      </c>
      <c r="C67" s="293"/>
      <c r="D67" s="103"/>
      <c r="E67" s="294"/>
      <c r="F67" s="295"/>
      <c r="G67" s="295"/>
      <c r="H67" s="295"/>
      <c r="I67" s="295"/>
      <c r="J67" s="76" t="str">
        <f>IF(F67="","",(F67*E67*(1.65*(0.000125^((#REF!/1000)-1)))*((1-EXP(-0.04*($D$48-$E$49)))/4.15)*1000)/(K$2*(1+(((#REF!/1000)-1.05)/0.2))))</f>
        <v/>
      </c>
      <c r="K67" s="365" t="str">
        <f>IF(G67="","",(E67*G67*(1.65*(0.000125^((#REF!/1000)-1)))*((1-EXP(-0.04*($D$48-$F$49)))/4.15)*1000)/(K$2*(1+(((#REF!/1000)-1.05)/0.2))))</f>
        <v/>
      </c>
      <c r="L67" s="117"/>
      <c r="M67" s="118"/>
      <c r="N67" s="296"/>
      <c r="O67" s="296"/>
      <c r="P67" s="297"/>
      <c r="Q67" s="298"/>
      <c r="R67" s="298"/>
      <c r="U67" s="387"/>
      <c r="XFD67" s="441"/>
    </row>
    <row r="68" spans="2:21 16384:16384" s="292" customFormat="1" ht="17" hidden="1" customHeight="1">
      <c r="B68" s="293" t="str">
        <f>BDD!A44</f>
        <v>Citra</v>
      </c>
      <c r="C68" s="293"/>
      <c r="D68" s="103"/>
      <c r="E68" s="294"/>
      <c r="F68" s="295"/>
      <c r="G68" s="295"/>
      <c r="H68" s="295"/>
      <c r="I68" s="295"/>
      <c r="J68" s="76" t="str">
        <f>IF(F68="","",(F68*E68*(1.65*(0.000125^((#REF!/1000)-1)))*((1-EXP(-0.04*($D$48-$E$49)))/4.15)*1000)/(K$2*(1+(((#REF!/1000)-1.05)/0.2))))</f>
        <v/>
      </c>
      <c r="K68" s="365" t="str">
        <f>IF(G68="","",(E68*G68*(1.65*(0.000125^((#REF!/1000)-1)))*((1-EXP(-0.04*($D$48-$F$49)))/4.15)*1000)/(K$2*(1+(((#REF!/1000)-1.05)/0.2))))</f>
        <v/>
      </c>
      <c r="L68" s="117"/>
      <c r="M68" s="118"/>
      <c r="N68" s="296"/>
      <c r="O68" s="296"/>
      <c r="P68" s="297"/>
      <c r="Q68" s="298"/>
      <c r="R68" s="298"/>
      <c r="U68" s="387"/>
      <c r="XFD68" s="441"/>
    </row>
    <row r="69" spans="2:21 16384:16384" s="292" customFormat="1" ht="17" hidden="1" customHeight="1">
      <c r="B69" s="293" t="str">
        <f>BDD!A45</f>
        <v>Columbus</v>
      </c>
      <c r="C69" s="293"/>
      <c r="D69" s="103"/>
      <c r="E69" s="294"/>
      <c r="F69" s="295"/>
      <c r="G69" s="295"/>
      <c r="H69" s="295"/>
      <c r="I69" s="295"/>
      <c r="J69" s="76" t="str">
        <f>IF(F69="","",(F69*E69*(1.65*(0.000125^((#REF!/1000)-1)))*((1-EXP(-0.04*($D$48-$E$49)))/4.15)*1000)/(K$2*(1+(((#REF!/1000)-1.05)/0.2))))</f>
        <v/>
      </c>
      <c r="K69" s="365" t="str">
        <f>IF(G69="","",(E69*G69*(1.65*(0.000125^((#REF!/1000)-1)))*((1-EXP(-0.04*($D$48-$F$49)))/4.15)*1000)/(K$2*(1+(((#REF!/1000)-1.05)/0.2))))</f>
        <v/>
      </c>
      <c r="L69" s="117"/>
      <c r="M69" s="118"/>
      <c r="N69" s="296"/>
      <c r="O69" s="296"/>
      <c r="P69" s="297"/>
      <c r="Q69" s="298"/>
      <c r="R69" s="298"/>
      <c r="U69" s="387"/>
      <c r="XFD69" s="441"/>
    </row>
    <row r="70" spans="2:21 16384:16384" s="292" customFormat="1" ht="17" hidden="1" customHeight="1">
      <c r="B70" s="293" t="str">
        <f>BDD!A46</f>
        <v>Crystal</v>
      </c>
      <c r="C70" s="293"/>
      <c r="D70" s="103"/>
      <c r="E70" s="294"/>
      <c r="F70" s="295"/>
      <c r="G70" s="295"/>
      <c r="H70" s="295"/>
      <c r="I70" s="295"/>
      <c r="J70" s="76" t="str">
        <f>IF(F70="","",(F70*E70*(1.65*(0.000125^((#REF!/1000)-1)))*((1-EXP(-0.04*($D$48-$E$49)))/4.15)*1000)/(K$2*(1+(((#REF!/1000)-1.05)/0.2))))</f>
        <v/>
      </c>
      <c r="K70" s="365" t="str">
        <f>IF(G70="","",(E70*G70*(1.65*(0.000125^((#REF!/1000)-1)))*((1-EXP(-0.04*($D$48-$F$49)))/4.15)*1000)/(K$2*(1+(((#REF!/1000)-1.05)/0.2))))</f>
        <v/>
      </c>
      <c r="L70" s="117"/>
      <c r="M70" s="118"/>
      <c r="N70" s="296"/>
      <c r="O70" s="296"/>
      <c r="P70" s="297"/>
      <c r="Q70" s="298"/>
      <c r="R70" s="298"/>
      <c r="U70" s="387"/>
      <c r="XFD70" s="441"/>
    </row>
    <row r="71" spans="2:21 16384:16384" s="292" customFormat="1" ht="17" hidden="1" customHeight="1">
      <c r="B71" s="293" t="str">
        <f>BDD!A47</f>
        <v>East Kent Goldings</v>
      </c>
      <c r="C71" s="293"/>
      <c r="D71" s="103"/>
      <c r="E71" s="294"/>
      <c r="F71" s="295"/>
      <c r="G71" s="295"/>
      <c r="H71" s="295"/>
      <c r="I71" s="295"/>
      <c r="J71" s="76" t="str">
        <f>IF(F71="","",(F71*E71*(1.65*(0.000125^((#REF!/1000)-1)))*((1-EXP(-0.04*($D$48-$E$49)))/4.15)*1000)/(K$2*(1+(((#REF!/1000)-1.05)/0.2))))</f>
        <v/>
      </c>
      <c r="K71" s="365" t="str">
        <f>IF(G71="","",(E71*G71*(1.65*(0.000125^((#REF!/1000)-1)))*((1-EXP(-0.04*($D$48-$F$49)))/4.15)*1000)/(K$2*(1+(((#REF!/1000)-1.05)/0.2))))</f>
        <v/>
      </c>
      <c r="L71" s="117"/>
      <c r="M71" s="118"/>
      <c r="N71" s="296"/>
      <c r="O71" s="296"/>
      <c r="P71" s="297"/>
      <c r="Q71" s="298"/>
      <c r="R71" s="298"/>
      <c r="U71" s="387"/>
      <c r="XFD71" s="441"/>
    </row>
    <row r="72" spans="2:21 16384:16384" s="292" customFormat="1" ht="17" hidden="1" customHeight="1">
      <c r="B72" s="293" t="str">
        <f>BDD!A48</f>
        <v>Fuggles</v>
      </c>
      <c r="C72" s="293"/>
      <c r="D72" s="103"/>
      <c r="E72" s="294"/>
      <c r="F72" s="295"/>
      <c r="G72" s="295"/>
      <c r="H72" s="295"/>
      <c r="I72" s="295"/>
      <c r="J72" s="76" t="str">
        <f>IF(F72="","",(F72*E72*(1.65*(0.000125^((#REF!/1000)-1)))*((1-EXP(-0.04*($D$48-$E$49)))/4.15)*1000)/(K$2*(1+(((#REF!/1000)-1.05)/0.2))))</f>
        <v/>
      </c>
      <c r="K72" s="365" t="str">
        <f>IF(G72="","",(E72*G72*(1.65*(0.000125^((#REF!/1000)-1)))*((1-EXP(-0.04*($D$48-$F$49)))/4.15)*1000)/(K$2*(1+(((#REF!/1000)-1.05)/0.2))))</f>
        <v/>
      </c>
      <c r="L72" s="117"/>
      <c r="M72" s="118"/>
      <c r="N72" s="296"/>
      <c r="O72" s="296"/>
      <c r="P72" s="297"/>
      <c r="Q72" s="298"/>
      <c r="R72" s="298"/>
      <c r="U72" s="387"/>
      <c r="XFD72" s="441"/>
    </row>
    <row r="73" spans="2:21 16384:16384" s="292" customFormat="1" ht="17" hidden="1" customHeight="1">
      <c r="B73" s="293" t="str">
        <f>BDD!A49</f>
        <v>Galaxy</v>
      </c>
      <c r="C73" s="293"/>
      <c r="D73" s="103"/>
      <c r="E73" s="294"/>
      <c r="F73" s="295"/>
      <c r="G73" s="295"/>
      <c r="H73" s="295"/>
      <c r="I73" s="295"/>
      <c r="J73" s="76" t="str">
        <f>IF(F73="","",(F73*E73*(1.65*(0.000125^((#REF!/1000)-1)))*((1-EXP(-0.04*($D$48-$E$49)))/4.15)*1000)/(K$2*(1+(((#REF!/1000)-1.05)/0.2))))</f>
        <v/>
      </c>
      <c r="K73" s="365" t="str">
        <f>IF(G73="","",(E73*G73*(1.65*(0.000125^((#REF!/1000)-1)))*((1-EXP(-0.04*($D$48-$F$49)))/4.15)*1000)/(K$2*(1+(((#REF!/1000)-1.05)/0.2))))</f>
        <v/>
      </c>
      <c r="L73" s="117"/>
      <c r="M73" s="118"/>
      <c r="N73" s="296"/>
      <c r="O73" s="296"/>
      <c r="P73" s="297"/>
      <c r="Q73" s="298"/>
      <c r="R73" s="298"/>
      <c r="U73" s="387"/>
      <c r="XFD73" s="441"/>
    </row>
    <row r="74" spans="2:21 16384:16384" s="292" customFormat="1" ht="17" hidden="1" customHeight="1">
      <c r="B74" s="293" t="str">
        <f>BDD!A50</f>
        <v>Hallertau/mittelfruh</v>
      </c>
      <c r="C74" s="293"/>
      <c r="D74" s="103"/>
      <c r="E74" s="294"/>
      <c r="F74" s="295"/>
      <c r="G74" s="295"/>
      <c r="H74" s="295"/>
      <c r="I74" s="295"/>
      <c r="J74" s="76" t="str">
        <f>IF(F74="","",(F74*E74*(1.65*(0.000125^((#REF!/1000)-1)))*((1-EXP(-0.04*($D$48-$E$49)))/4.15)*1000)/(K$2*(1+(((#REF!/1000)-1.05)/0.2))))</f>
        <v/>
      </c>
      <c r="K74" s="365" t="str">
        <f>IF(G74="","",(E74*G74*(1.65*(0.000125^((#REF!/1000)-1)))*((1-EXP(-0.04*($D$48-$F$49)))/4.15)*1000)/(K$2*(1+(((#REF!/1000)-1.05)/0.2))))</f>
        <v/>
      </c>
      <c r="L74" s="117"/>
      <c r="M74" s="118"/>
      <c r="N74" s="296"/>
      <c r="O74" s="296"/>
      <c r="P74" s="297"/>
      <c r="Q74" s="298"/>
      <c r="R74" s="298"/>
      <c r="U74" s="387"/>
      <c r="XFD74" s="441"/>
    </row>
    <row r="75" spans="2:21 16384:16384" s="292" customFormat="1" ht="17" hidden="1" customHeight="1">
      <c r="B75" s="293" t="str">
        <f>BDD!A51</f>
        <v>Hall. Cascade Bio</v>
      </c>
      <c r="C75" s="293"/>
      <c r="D75" s="103"/>
      <c r="E75" s="294"/>
      <c r="F75" s="295"/>
      <c r="G75" s="295"/>
      <c r="H75" s="295"/>
      <c r="I75" s="295"/>
      <c r="J75" s="76" t="str">
        <f>IF(F75="","",(F75*E75*(1.65*(0.000125^((#REF!/1000)-1)))*((1-EXP(-0.04*($D$48-$E$49)))/4.15)*1000)/(K$2*(1+(((#REF!/1000)-1.05)/0.2))))</f>
        <v/>
      </c>
      <c r="K75" s="365" t="str">
        <f>IF(G75="","",(E75*G75*(1.65*(0.000125^((#REF!/1000)-1)))*((1-EXP(-0.04*($D$48-$F$49)))/4.15)*1000)/(K$2*(1+(((#REF!/1000)-1.05)/0.2))))</f>
        <v/>
      </c>
      <c r="L75" s="117"/>
      <c r="M75" s="118"/>
      <c r="N75" s="296"/>
      <c r="O75" s="296"/>
      <c r="P75" s="297"/>
      <c r="Q75" s="298"/>
      <c r="R75" s="298"/>
      <c r="U75" s="387"/>
      <c r="XFD75" s="441"/>
    </row>
    <row r="76" spans="2:21 16384:16384" s="292" customFormat="1" ht="17" hidden="1" customHeight="1">
      <c r="B76" s="293" t="str">
        <f>BDD!A52</f>
        <v>Hallertau Blanc</v>
      </c>
      <c r="C76" s="293"/>
      <c r="D76" s="103"/>
      <c r="E76" s="294"/>
      <c r="F76" s="295"/>
      <c r="G76" s="295"/>
      <c r="H76" s="295"/>
      <c r="I76" s="295"/>
      <c r="J76" s="76" t="str">
        <f>IF(F76="","",(F76*E76*(1.65*(0.000125^((#REF!/1000)-1)))*((1-EXP(-0.04*($D$48-$E$49)))/4.15)*1000)/(K$2*(1+(((#REF!/1000)-1.05)/0.2))))</f>
        <v/>
      </c>
      <c r="K76" s="365" t="str">
        <f>IF(G76="","",(E76*G76*(1.65*(0.000125^((#REF!/1000)-1)))*((1-EXP(-0.04*($D$48-$F$49)))/4.15)*1000)/(K$2*(1+(((#REF!/1000)-1.05)/0.2))))</f>
        <v/>
      </c>
      <c r="L76" s="117"/>
      <c r="M76" s="118"/>
      <c r="N76" s="296"/>
      <c r="O76" s="296"/>
      <c r="P76" s="297"/>
      <c r="Q76" s="298"/>
      <c r="R76" s="298"/>
      <c r="U76" s="387"/>
      <c r="XFD76" s="441"/>
    </row>
    <row r="77" spans="2:21 16384:16384" s="292" customFormat="1" ht="17" hidden="1" customHeight="1">
      <c r="B77" s="293" t="str">
        <f>BDD!A53</f>
        <v>Hallertau Hersbrucker</v>
      </c>
      <c r="C77" s="293"/>
      <c r="D77" s="103"/>
      <c r="E77" s="294"/>
      <c r="F77" s="295"/>
      <c r="G77" s="295"/>
      <c r="H77" s="295"/>
      <c r="I77" s="295"/>
      <c r="J77" s="76" t="str">
        <f>IF(F77="","",(F77*E77*(1.65*(0.000125^((#REF!/1000)-1)))*((1-EXP(-0.04*($D$48-$E$49)))/4.15)*1000)/(K$2*(1+(((#REF!/1000)-1.05)/0.2))))</f>
        <v/>
      </c>
      <c r="K77" s="365" t="str">
        <f>IF(G77="","",(E77*G77*(1.65*(0.000125^((#REF!/1000)-1)))*((1-EXP(-0.04*($D$48-$F$49)))/4.15)*1000)/(K$2*(1+(((#REF!/1000)-1.05)/0.2))))</f>
        <v/>
      </c>
      <c r="L77" s="117"/>
      <c r="M77" s="118"/>
      <c r="N77" s="296"/>
      <c r="O77" s="296"/>
      <c r="P77" s="297"/>
      <c r="Q77" s="298"/>
      <c r="R77" s="298"/>
      <c r="U77" s="387"/>
      <c r="XFD77" s="441"/>
    </row>
    <row r="78" spans="2:21 16384:16384" s="292" customFormat="1" ht="17" hidden="1" customHeight="1">
      <c r="B78" s="293" t="str">
        <f>BDD!A54</f>
        <v>Hallertau Nugget</v>
      </c>
      <c r="C78" s="293"/>
      <c r="D78" s="103"/>
      <c r="E78" s="294"/>
      <c r="F78" s="295"/>
      <c r="G78" s="295"/>
      <c r="H78" s="295"/>
      <c r="I78" s="295"/>
      <c r="J78" s="76" t="str">
        <f>IF(F78="","",(F78*E78*(1.65*(0.000125^((#REF!/1000)-1)))*((1-EXP(-0.04*($D$48-$E$49)))/4.15)*1000)/(K$2*(1+(((#REF!/1000)-1.05)/0.2))))</f>
        <v/>
      </c>
      <c r="K78" s="365" t="str">
        <f>IF(G78="","",(E78*G78*(1.65*(0.000125^((#REF!/1000)-1)))*((1-EXP(-0.04*($D$48-$F$49)))/4.15)*1000)/(K$2*(1+(((#REF!/1000)-1.05)/0.2))))</f>
        <v/>
      </c>
      <c r="L78" s="117"/>
      <c r="M78" s="118"/>
      <c r="N78" s="296"/>
      <c r="O78" s="296"/>
      <c r="P78" s="297"/>
      <c r="Q78" s="298"/>
      <c r="R78" s="298"/>
      <c r="U78" s="387"/>
      <c r="XFD78" s="441"/>
    </row>
    <row r="79" spans="2:21 16384:16384" s="292" customFormat="1" ht="17" hidden="1" customHeight="1">
      <c r="B79" s="293" t="str">
        <f>BDD!A55</f>
        <v>Hallertau Perle</v>
      </c>
      <c r="C79" s="293"/>
      <c r="D79" s="103"/>
      <c r="E79" s="294"/>
      <c r="F79" s="295"/>
      <c r="G79" s="295"/>
      <c r="H79" s="295"/>
      <c r="I79" s="295"/>
      <c r="J79" s="76" t="str">
        <f>IF(F79="","",(F79*E79*(1.65*(0.000125^((#REF!/1000)-1)))*((1-EXP(-0.04*($D$48-$E$49)))/4.15)*1000)/(K$2*(1+(((#REF!/1000)-1.05)/0.2))))</f>
        <v/>
      </c>
      <c r="K79" s="365" t="str">
        <f>IF(G79="","",(E79*G79*(1.65*(0.000125^((#REF!/1000)-1)))*((1-EXP(-0.04*($D$48-$F$49)))/4.15)*1000)/(K$2*(1+(((#REF!/1000)-1.05)/0.2))))</f>
        <v/>
      </c>
      <c r="L79" s="117"/>
      <c r="M79" s="118"/>
      <c r="N79" s="296"/>
      <c r="O79" s="296"/>
      <c r="P79" s="297"/>
      <c r="Q79" s="298"/>
      <c r="R79" s="298"/>
      <c r="U79" s="387"/>
      <c r="XFD79" s="441"/>
    </row>
    <row r="80" spans="2:21 16384:16384" s="292" customFormat="1" ht="17" hidden="1" customHeight="1">
      <c r="B80" s="293" t="str">
        <f>BDD!A56</f>
        <v>Hallertau tradition</v>
      </c>
      <c r="C80" s="293"/>
      <c r="D80" s="103"/>
      <c r="E80" s="294"/>
      <c r="F80" s="295"/>
      <c r="G80" s="295"/>
      <c r="H80" s="295"/>
      <c r="I80" s="295"/>
      <c r="J80" s="76" t="str">
        <f>IF(F80="","",(F80*E80*(1.65*(0.000125^((#REF!/1000)-1)))*((1-EXP(-0.04*($D$48-$E$49)))/4.15)*1000)/(K$2*(1+(((#REF!/1000)-1.05)/0.2))))</f>
        <v/>
      </c>
      <c r="K80" s="365" t="str">
        <f>IF(G80="","",(E80*G80*(1.65*(0.000125^((#REF!/1000)-1)))*((1-EXP(-0.04*($D$48-$F$49)))/4.15)*1000)/(K$2*(1+(((#REF!/1000)-1.05)/0.2))))</f>
        <v/>
      </c>
      <c r="L80" s="117"/>
      <c r="M80" s="118"/>
      <c r="N80" s="296"/>
      <c r="O80" s="296"/>
      <c r="P80" s="297"/>
      <c r="Q80" s="298"/>
      <c r="R80" s="298"/>
      <c r="U80" s="387"/>
      <c r="XFD80" s="441"/>
    </row>
    <row r="81" spans="2:21 16384:16384" s="292" customFormat="1" ht="17" hidden="1" customHeight="1">
      <c r="B81" s="293" t="str">
        <f>BDD!A57</f>
        <v>Hercule</v>
      </c>
      <c r="C81" s="293"/>
      <c r="D81" s="103"/>
      <c r="E81" s="294"/>
      <c r="F81" s="295"/>
      <c r="G81" s="295"/>
      <c r="H81" s="295"/>
      <c r="I81" s="295"/>
      <c r="J81" s="76" t="str">
        <f>IF(F81="","",(F81*E81*(1.65*(0.000125^((#REF!/1000)-1)))*((1-EXP(-0.04*($D$48-$E$49)))/4.15)*1000)/(K$2*(1+(((#REF!/1000)-1.05)/0.2))))</f>
        <v/>
      </c>
      <c r="K81" s="365" t="str">
        <f>IF(G81="","",(E81*G81*(1.65*(0.000125^((#REF!/1000)-1)))*((1-EXP(-0.04*($D$48-$F$49)))/4.15)*1000)/(K$2*(1+(((#REF!/1000)-1.05)/0.2))))</f>
        <v/>
      </c>
      <c r="L81" s="117"/>
      <c r="M81" s="118"/>
      <c r="N81" s="296"/>
      <c r="O81" s="296"/>
      <c r="P81" s="297"/>
      <c r="Q81" s="298"/>
      <c r="R81" s="298"/>
      <c r="U81" s="387"/>
      <c r="XFD81" s="441"/>
    </row>
    <row r="82" spans="2:21 16384:16384" s="292" customFormat="1" ht="17" hidden="1" customHeight="1">
      <c r="B82" s="293" t="str">
        <f>BDD!A58</f>
        <v>Liberty</v>
      </c>
      <c r="C82" s="293"/>
      <c r="D82" s="103"/>
      <c r="E82" s="294"/>
      <c r="F82" s="295"/>
      <c r="G82" s="295"/>
      <c r="H82" s="295"/>
      <c r="I82" s="295"/>
      <c r="J82" s="76" t="str">
        <f>IF(F82="","",(F82*E82*(1.65*(0.000125^((#REF!/1000)-1)))*((1-EXP(-0.04*($D$48-$E$49)))/4.15)*1000)/(K$2*(1+(((#REF!/1000)-1.05)/0.2))))</f>
        <v/>
      </c>
      <c r="K82" s="365" t="str">
        <f>IF(G82="","",(E82*G82*(1.65*(0.000125^((#REF!/1000)-1)))*((1-EXP(-0.04*($D$48-$F$49)))/4.15)*1000)/(K$2*(1+(((#REF!/1000)-1.05)/0.2))))</f>
        <v/>
      </c>
      <c r="L82" s="117"/>
      <c r="M82" s="118"/>
      <c r="N82" s="296"/>
      <c r="O82" s="296"/>
      <c r="P82" s="297"/>
      <c r="Q82" s="298"/>
      <c r="R82" s="298"/>
      <c r="U82" s="387"/>
      <c r="XFD82" s="441"/>
    </row>
    <row r="83" spans="2:21 16384:16384" s="292" customFormat="1" ht="17" hidden="1" customHeight="1">
      <c r="B83" s="293" t="str">
        <f>BDD!A59</f>
        <v>Magnum</v>
      </c>
      <c r="C83" s="293"/>
      <c r="D83" s="103"/>
      <c r="E83" s="294"/>
      <c r="F83" s="295"/>
      <c r="G83" s="295"/>
      <c r="H83" s="295"/>
      <c r="I83" s="295"/>
      <c r="J83" s="76" t="str">
        <f>IF(F83="","",(F83*E83*(1.65*(0.000125^((#REF!/1000)-1)))*((1-EXP(-0.04*($D$48-$E$49)))/4.15)*1000)/(K$2*(1+(((#REF!/1000)-1.05)/0.2))))</f>
        <v/>
      </c>
      <c r="K83" s="365" t="str">
        <f>IF(G83="","",(E83*G83*(1.65*(0.000125^((#REF!/1000)-1)))*((1-EXP(-0.04*($D$48-$F$49)))/4.15)*1000)/(K$2*(1+(((#REF!/1000)-1.05)/0.2))))</f>
        <v/>
      </c>
      <c r="L83" s="117"/>
      <c r="M83" s="118"/>
      <c r="N83" s="296"/>
      <c r="O83" s="296"/>
      <c r="P83" s="297"/>
      <c r="Q83" s="298"/>
      <c r="R83" s="298"/>
      <c r="U83" s="387"/>
      <c r="XFD83" s="441"/>
    </row>
    <row r="84" spans="2:21 16384:16384" s="292" customFormat="1" ht="17" hidden="1" customHeight="1">
      <c r="B84" s="293" t="str">
        <f>BDD!A60</f>
        <v>Mandarina Bavaria</v>
      </c>
      <c r="C84" s="293"/>
      <c r="D84" s="103"/>
      <c r="E84" s="294"/>
      <c r="F84" s="295"/>
      <c r="G84" s="295"/>
      <c r="H84" s="295"/>
      <c r="I84" s="295"/>
      <c r="J84" s="76" t="str">
        <f>IF(F84="","",(F84*E84*(1.65*(0.000125^((#REF!/1000)-1)))*((1-EXP(-0.04*($D$48-$E$49)))/4.15)*1000)/(K$2*(1+(((#REF!/1000)-1.05)/0.2))))</f>
        <v/>
      </c>
      <c r="K84" s="365" t="str">
        <f>IF(G84="","",(E84*G84*(1.65*(0.000125^((#REF!/1000)-1)))*((1-EXP(-0.04*($D$48-$F$49)))/4.15)*1000)/(K$2*(1+(((#REF!/1000)-1.05)/0.2))))</f>
        <v/>
      </c>
      <c r="L84" s="117"/>
      <c r="M84" s="118"/>
      <c r="N84" s="296"/>
      <c r="O84" s="296"/>
      <c r="P84" s="297"/>
      <c r="Q84" s="298"/>
      <c r="R84" s="298"/>
      <c r="U84" s="387"/>
      <c r="XFD84" s="441"/>
    </row>
    <row r="85" spans="2:21 16384:16384" s="292" customFormat="1" ht="17" hidden="1" customHeight="1">
      <c r="B85" s="293" t="str">
        <f>BDD!A61</f>
        <v>Mandarina Bavaria Suisse</v>
      </c>
      <c r="C85" s="293"/>
      <c r="D85" s="103"/>
      <c r="E85" s="294"/>
      <c r="F85" s="295"/>
      <c r="G85" s="295"/>
      <c r="H85" s="295"/>
      <c r="I85" s="295"/>
      <c r="J85" s="76" t="str">
        <f>IF(F85="","",(F85*E85*(1.65*(0.000125^((#REF!/1000)-1)))*((1-EXP(-0.04*($D$48-$E$49)))/4.15)*1000)/(K$2*(1+(((#REF!/1000)-1.05)/0.2))))</f>
        <v/>
      </c>
      <c r="K85" s="365" t="str">
        <f>IF(G85="","",(E85*G85*(1.65*(0.000125^((#REF!/1000)-1)))*((1-EXP(-0.04*($D$48-$F$49)))/4.15)*1000)/(K$2*(1+(((#REF!/1000)-1.05)/0.2))))</f>
        <v/>
      </c>
      <c r="L85" s="117"/>
      <c r="M85" s="118"/>
      <c r="N85" s="296"/>
      <c r="O85" s="296"/>
      <c r="P85" s="297"/>
      <c r="Q85" s="298"/>
      <c r="R85" s="298"/>
      <c r="U85" s="387"/>
      <c r="XFD85" s="441"/>
    </row>
    <row r="86" spans="2:21 16384:16384" s="292" customFormat="1" ht="17" hidden="1" customHeight="1">
      <c r="B86" s="293" t="str">
        <f>BDD!A62</f>
        <v>Melon</v>
      </c>
      <c r="C86" s="293"/>
      <c r="D86" s="103"/>
      <c r="E86" s="294"/>
      <c r="F86" s="295"/>
      <c r="G86" s="295"/>
      <c r="H86" s="295"/>
      <c r="I86" s="295"/>
      <c r="J86" s="76" t="str">
        <f>IF(F86="","",(F86*E86*(1.65*(0.000125^((#REF!/1000)-1)))*((1-EXP(-0.04*($D$48-$E$49)))/4.15)*1000)/(K$2*(1+(((#REF!/1000)-1.05)/0.2))))</f>
        <v/>
      </c>
      <c r="K86" s="365" t="str">
        <f>IF(G86="","",(E86*G86*(1.65*(0.000125^((#REF!/1000)-1)))*((1-EXP(-0.04*($D$48-$F$49)))/4.15)*1000)/(K$2*(1+(((#REF!/1000)-1.05)/0.2))))</f>
        <v/>
      </c>
      <c r="L86" s="117"/>
      <c r="M86" s="118"/>
      <c r="N86" s="296"/>
      <c r="O86" s="296"/>
      <c r="P86" s="297"/>
      <c r="Q86" s="298"/>
      <c r="R86" s="298"/>
      <c r="U86" s="387"/>
      <c r="XFD86" s="441"/>
    </row>
    <row r="87" spans="2:21 16384:16384" s="292" customFormat="1" ht="17" hidden="1" customHeight="1">
      <c r="B87" s="293" t="str">
        <f>BDD!A63</f>
        <v>Mosaic</v>
      </c>
      <c r="C87" s="293"/>
      <c r="D87" s="103"/>
      <c r="E87" s="294"/>
      <c r="F87" s="295"/>
      <c r="G87" s="295"/>
      <c r="H87" s="295"/>
      <c r="I87" s="295"/>
      <c r="J87" s="76" t="str">
        <f>IF(F87="","",(F87*E87*(1.65*(0.000125^((#REF!/1000)-1)))*((1-EXP(-0.04*($D$48-$E$49)))/4.15)*1000)/(K$2*(1+(((#REF!/1000)-1.05)/0.2))))</f>
        <v/>
      </c>
      <c r="K87" s="365" t="str">
        <f>IF(G87="","",(E87*G87*(1.65*(0.000125^((#REF!/1000)-1)))*((1-EXP(-0.04*($D$48-$F$49)))/4.15)*1000)/(K$2*(1+(((#REF!/1000)-1.05)/0.2))))</f>
        <v/>
      </c>
      <c r="L87" s="117"/>
      <c r="M87" s="118"/>
      <c r="N87" s="296"/>
      <c r="O87" s="296"/>
      <c r="P87" s="297"/>
      <c r="Q87" s="298"/>
      <c r="R87" s="298"/>
      <c r="U87" s="387"/>
      <c r="XFD87" s="441"/>
    </row>
    <row r="88" spans="2:21 16384:16384" s="292" customFormat="1" ht="17" hidden="1" customHeight="1">
      <c r="B88" s="293" t="str">
        <f>BDD!A64</f>
        <v>Nelson Sauvin</v>
      </c>
      <c r="C88" s="293"/>
      <c r="D88" s="103"/>
      <c r="E88" s="294"/>
      <c r="F88" s="295"/>
      <c r="G88" s="295"/>
      <c r="H88" s="295"/>
      <c r="I88" s="295"/>
      <c r="J88" s="76" t="str">
        <f>IF(F88="","",(F88*E88*(1.65*(0.000125^((#REF!/1000)-1)))*((1-EXP(-0.04*($D$48-$E$49)))/4.15)*1000)/(K$2*(1+(((#REF!/1000)-1.05)/0.2))))</f>
        <v/>
      </c>
      <c r="K88" s="365" t="str">
        <f>IF(G88="","",(E88*G88*(1.65*(0.000125^((#REF!/1000)-1)))*((1-EXP(-0.04*($D$48-$F$49)))/4.15)*1000)/(K$2*(1+(((#REF!/1000)-1.05)/0.2))))</f>
        <v/>
      </c>
      <c r="L88" s="117"/>
      <c r="M88" s="118"/>
      <c r="N88" s="296"/>
      <c r="O88" s="296"/>
      <c r="P88" s="297"/>
      <c r="Q88" s="298"/>
      <c r="R88" s="298"/>
      <c r="U88" s="387"/>
      <c r="XFD88" s="441"/>
    </row>
    <row r="89" spans="2:21 16384:16384" s="292" customFormat="1" ht="17" hidden="1" customHeight="1">
      <c r="B89" s="293" t="str">
        <f>BDD!A65</f>
        <v>Nelson Sauvin Bio</v>
      </c>
      <c r="C89" s="293"/>
      <c r="D89" s="103"/>
      <c r="E89" s="294"/>
      <c r="F89" s="295"/>
      <c r="G89" s="295"/>
      <c r="H89" s="295"/>
      <c r="I89" s="295"/>
      <c r="J89" s="76" t="str">
        <f>IF(F89="","",(F89*E89*(1.65*(0.000125^((#REF!/1000)-1)))*((1-EXP(-0.04*($D$48-$E$49)))/4.15)*1000)/(K$2*(1+(((#REF!/1000)-1.05)/0.2))))</f>
        <v/>
      </c>
      <c r="K89" s="365" t="str">
        <f>IF(G89="","",(E89*G89*(1.65*(0.000125^((#REF!/1000)-1)))*((1-EXP(-0.04*($D$48-$F$49)))/4.15)*1000)/(K$2*(1+(((#REF!/1000)-1.05)/0.2))))</f>
        <v/>
      </c>
      <c r="L89" s="117"/>
      <c r="M89" s="118"/>
      <c r="N89" s="296"/>
      <c r="O89" s="296"/>
      <c r="P89" s="297"/>
      <c r="Q89" s="298"/>
      <c r="R89" s="298"/>
      <c r="U89" s="387"/>
      <c r="XFD89" s="441"/>
    </row>
    <row r="90" spans="2:21 16384:16384" s="292" customFormat="1" ht="17" hidden="1" customHeight="1">
      <c r="B90" s="293" t="str">
        <f>BDD!A66</f>
        <v>Northern brewer</v>
      </c>
      <c r="C90" s="293"/>
      <c r="D90" s="103"/>
      <c r="E90" s="294"/>
      <c r="F90" s="295"/>
      <c r="G90" s="295"/>
      <c r="H90" s="295"/>
      <c r="I90" s="295"/>
      <c r="J90" s="76" t="str">
        <f>IF(F90="","",(F90*E90*(1.65*(0.000125^((#REF!/1000)-1)))*((1-EXP(-0.04*($D$48-$E$49)))/4.15)*1000)/(K$2*(1+(((#REF!/1000)-1.05)/0.2))))</f>
        <v/>
      </c>
      <c r="K90" s="365" t="str">
        <f>IF(G90="","",(E90*G90*(1.65*(0.000125^((#REF!/1000)-1)))*((1-EXP(-0.04*($D$48-$F$49)))/4.15)*1000)/(K$2*(1+(((#REF!/1000)-1.05)/0.2))))</f>
        <v/>
      </c>
      <c r="L90" s="117"/>
      <c r="M90" s="118"/>
      <c r="N90" s="296"/>
      <c r="O90" s="296"/>
      <c r="P90" s="297"/>
      <c r="Q90" s="298"/>
      <c r="R90" s="298"/>
      <c r="U90" s="387"/>
      <c r="XFD90" s="441"/>
    </row>
    <row r="91" spans="2:21 16384:16384" s="292" customFormat="1" ht="17" hidden="1" customHeight="1">
      <c r="B91" s="293" t="str">
        <f>BDD!A67</f>
        <v>Polaris</v>
      </c>
      <c r="C91" s="293"/>
      <c r="D91" s="103"/>
      <c r="E91" s="294"/>
      <c r="F91" s="295"/>
      <c r="G91" s="295"/>
      <c r="H91" s="295"/>
      <c r="I91" s="295"/>
      <c r="J91" s="76" t="str">
        <f>IF(F91="","",(F91*E91*(1.65*(0.000125^((#REF!/1000)-1)))*((1-EXP(-0.04*($D$48-$E$49)))/4.15)*1000)/(K$2*(1+(((#REF!/1000)-1.05)/0.2))))</f>
        <v/>
      </c>
      <c r="K91" s="365" t="str">
        <f>IF(G91="","",(E91*G91*(1.65*(0.000125^((#REF!/1000)-1)))*((1-EXP(-0.04*($D$48-$F$49)))/4.15)*1000)/(K$2*(1+(((#REF!/1000)-1.05)/0.2))))</f>
        <v/>
      </c>
      <c r="L91" s="117"/>
      <c r="M91" s="118"/>
      <c r="N91" s="296"/>
      <c r="O91" s="296"/>
      <c r="P91" s="297"/>
      <c r="Q91" s="298"/>
      <c r="R91" s="298"/>
      <c r="U91" s="387"/>
      <c r="XFD91" s="441"/>
    </row>
    <row r="92" spans="2:21 16384:16384" s="292" customFormat="1" ht="17" hidden="1" customHeight="1">
      <c r="B92" s="293" t="str">
        <f>BDD!A68</f>
        <v>Saaz</v>
      </c>
      <c r="C92" s="293"/>
      <c r="D92" s="103"/>
      <c r="E92" s="294"/>
      <c r="F92" s="295"/>
      <c r="G92" s="295"/>
      <c r="H92" s="295"/>
      <c r="I92" s="295"/>
      <c r="J92" s="76" t="str">
        <f>IF(F92="","",(F92*E92*(1.65*(0.000125^((#REF!/1000)-1)))*((1-EXP(-0.04*($D$48-$E$49)))/4.15)*1000)/(K$2*(1+(((#REF!/1000)-1.05)/0.2))))</f>
        <v/>
      </c>
      <c r="K92" s="365" t="str">
        <f>IF(G92="","",(E92*G92*(1.65*(0.000125^((#REF!/1000)-1)))*((1-EXP(-0.04*($D$48-$F$49)))/4.15)*1000)/(K$2*(1+(((#REF!/1000)-1.05)/0.2))))</f>
        <v/>
      </c>
      <c r="L92" s="117"/>
      <c r="M92" s="118"/>
      <c r="N92" s="296"/>
      <c r="O92" s="296"/>
      <c r="P92" s="297"/>
      <c r="Q92" s="298"/>
      <c r="R92" s="298"/>
      <c r="U92" s="387"/>
      <c r="XFD92" s="441"/>
    </row>
    <row r="93" spans="2:21 16384:16384" s="292" customFormat="1" ht="17" hidden="1" customHeight="1">
      <c r="B93" s="293" t="str">
        <f>BDD!A69</f>
        <v>Safir</v>
      </c>
      <c r="C93" s="293"/>
      <c r="D93" s="103"/>
      <c r="E93" s="294"/>
      <c r="F93" s="295"/>
      <c r="G93" s="295"/>
      <c r="H93" s="295"/>
      <c r="I93" s="295"/>
      <c r="J93" s="76" t="str">
        <f>IF(F93="","",(F93*E93*(1.65*(0.000125^((#REF!/1000)-1)))*((1-EXP(-0.04*($D$48-$E$49)))/4.15)*1000)/(K$2*(1+(((#REF!/1000)-1.05)/0.2))))</f>
        <v/>
      </c>
      <c r="K93" s="365" t="str">
        <f>IF(G93="","",(E93*G93*(1.65*(0.000125^((#REF!/1000)-1)))*((1-EXP(-0.04*($D$48-$F$49)))/4.15)*1000)/(K$2*(1+(((#REF!/1000)-1.05)/0.2))))</f>
        <v/>
      </c>
      <c r="L93" s="117"/>
      <c r="M93" s="118"/>
      <c r="N93" s="296"/>
      <c r="O93" s="296"/>
      <c r="P93" s="297"/>
      <c r="Q93" s="298"/>
      <c r="R93" s="298"/>
      <c r="U93" s="387"/>
      <c r="XFD93" s="441"/>
    </row>
    <row r="94" spans="2:21 16384:16384" s="292" customFormat="1" ht="17" hidden="1" customHeight="1">
      <c r="B94" s="293" t="str">
        <f>BDD!A70</f>
        <v>Sorachi ace</v>
      </c>
      <c r="C94" s="293"/>
      <c r="D94" s="103"/>
      <c r="E94" s="294"/>
      <c r="F94" s="295"/>
      <c r="G94" s="295"/>
      <c r="H94" s="295"/>
      <c r="I94" s="295"/>
      <c r="J94" s="76" t="str">
        <f>IF(F94="","",(F94*E94*(1.65*(0.000125^((#REF!/1000)-1)))*((1-EXP(-0.04*($D$48-$E$49)))/4.15)*1000)/(K$2*(1+(((#REF!/1000)-1.05)/0.2))))</f>
        <v/>
      </c>
      <c r="K94" s="365" t="str">
        <f>IF(G94="","",(E94*G94*(1.65*(0.000125^((#REF!/1000)-1)))*((1-EXP(-0.04*($D$48-$F$49)))/4.15)*1000)/(K$2*(1+(((#REF!/1000)-1.05)/0.2))))</f>
        <v/>
      </c>
      <c r="L94" s="117"/>
      <c r="M94" s="118"/>
      <c r="N94" s="296"/>
      <c r="O94" s="296"/>
      <c r="P94" s="297"/>
      <c r="Q94" s="298"/>
      <c r="R94" s="298"/>
      <c r="U94" s="387"/>
      <c r="XFD94" s="441"/>
    </row>
    <row r="95" spans="2:21 16384:16384" s="292" customFormat="1" ht="17" hidden="1" customHeight="1">
      <c r="B95" s="293" t="str">
        <f>BDD!A71</f>
        <v>Simcoe</v>
      </c>
      <c r="C95" s="293"/>
      <c r="D95" s="103"/>
      <c r="E95" s="294"/>
      <c r="F95" s="295"/>
      <c r="G95" s="295"/>
      <c r="H95" s="295"/>
      <c r="I95" s="295"/>
      <c r="J95" s="76" t="str">
        <f>IF(F95="","",(F95*E95*(1.65*(0.000125^((#REF!/1000)-1)))*((1-EXP(-0.04*($D$48-$E$49)))/4.15)*1000)/(K$2*(1+(((#REF!/1000)-1.05)/0.2))))</f>
        <v/>
      </c>
      <c r="K95" s="365" t="str">
        <f>IF(G95="","",(E95*G95*(1.65*(0.000125^((#REF!/1000)-1)))*((1-EXP(-0.04*($D$48-$F$49)))/4.15)*1000)/(K$2*(1+(((#REF!/1000)-1.05)/0.2))))</f>
        <v/>
      </c>
      <c r="L95" s="117"/>
      <c r="M95" s="118"/>
      <c r="N95" s="296"/>
      <c r="O95" s="296"/>
      <c r="P95" s="297"/>
      <c r="Q95" s="298"/>
      <c r="R95" s="298"/>
      <c r="U95" s="387"/>
      <c r="XFD95" s="441"/>
    </row>
    <row r="96" spans="2:21 16384:16384" s="292" customFormat="1" ht="17" hidden="1" customHeight="1">
      <c r="B96" s="293" t="str">
        <f>BDD!A72</f>
        <v>Spalt select</v>
      </c>
      <c r="C96" s="293"/>
      <c r="D96" s="103"/>
      <c r="E96" s="294"/>
      <c r="F96" s="295"/>
      <c r="G96" s="295"/>
      <c r="H96" s="295"/>
      <c r="I96" s="295"/>
      <c r="J96" s="76" t="str">
        <f>IF(F96="","",(F96*E96*(1.65*(0.000125^((#REF!/1000)-1)))*((1-EXP(-0.04*($D$48-$E$49)))/4.15)*1000)/(K$2*(1+(((#REF!/1000)-1.05)/0.2))))</f>
        <v/>
      </c>
      <c r="K96" s="365" t="str">
        <f>IF(G96="","",(E96*G96*(1.65*(0.000125^((#REF!/1000)-1)))*((1-EXP(-0.04*($D$48-$F$49)))/4.15)*1000)/(K$2*(1+(((#REF!/1000)-1.05)/0.2))))</f>
        <v/>
      </c>
      <c r="L96" s="117"/>
      <c r="M96" s="118"/>
      <c r="N96" s="296"/>
      <c r="O96" s="296"/>
      <c r="P96" s="297"/>
      <c r="Q96" s="298"/>
      <c r="R96" s="298"/>
      <c r="U96" s="387"/>
      <c r="XFD96" s="441"/>
    </row>
    <row r="97" spans="2:21 16384:16384" s="292" customFormat="1" ht="17" hidden="1" customHeight="1">
      <c r="B97" s="293" t="str">
        <f>BDD!A73</f>
        <v>Suisse bio pearl</v>
      </c>
      <c r="C97" s="293"/>
      <c r="D97" s="103"/>
      <c r="E97" s="294"/>
      <c r="F97" s="295"/>
      <c r="G97" s="295"/>
      <c r="H97" s="295"/>
      <c r="I97" s="295"/>
      <c r="J97" s="76" t="str">
        <f>IF(F97="","",(F97*E97*(1.65*(0.000125^((#REF!/1000)-1)))*((1-EXP(-0.04*($D$48-$E$49)))/4.15)*1000)/(K$2*(1+(((#REF!/1000)-1.05)/0.2))))</f>
        <v/>
      </c>
      <c r="K97" s="365" t="str">
        <f>IF(G97="","",(E97*G97*(1.65*(0.000125^((#REF!/1000)-1)))*((1-EXP(-0.04*($D$48-$F$49)))/4.15)*1000)/(K$2*(1+(((#REF!/1000)-1.05)/0.2))))</f>
        <v/>
      </c>
      <c r="L97" s="117"/>
      <c r="M97" s="118"/>
      <c r="N97" s="296"/>
      <c r="O97" s="296"/>
      <c r="P97" s="297"/>
      <c r="Q97" s="298"/>
      <c r="R97" s="298"/>
      <c r="U97" s="387"/>
      <c r="XFD97" s="441"/>
    </row>
    <row r="98" spans="2:21 16384:16384" s="292" customFormat="1" ht="17" hidden="1" customHeight="1">
      <c r="B98" s="293" t="str">
        <f>BDD!A74</f>
        <v>Summit</v>
      </c>
      <c r="C98" s="293"/>
      <c r="D98" s="103"/>
      <c r="E98" s="294"/>
      <c r="F98" s="295"/>
      <c r="G98" s="295"/>
      <c r="H98" s="295"/>
      <c r="I98" s="295"/>
      <c r="J98" s="76" t="str">
        <f>IF(F98="","",(F98*E98*(1.65*(0.000125^((#REF!/1000)-1)))*((1-EXP(-0.04*($D$48-$E$49)))/4.15)*1000)/(K$2*(1+(((#REF!/1000)-1.05)/0.2))))</f>
        <v/>
      </c>
      <c r="K98" s="365" t="str">
        <f>IF(G98="","",(E98*G98*(1.65*(0.000125^((#REF!/1000)-1)))*((1-EXP(-0.04*($D$48-$F$49)))/4.15)*1000)/(K$2*(1+(((#REF!/1000)-1.05)/0.2))))</f>
        <v/>
      </c>
      <c r="L98" s="117"/>
      <c r="M98" s="118"/>
      <c r="N98" s="296"/>
      <c r="O98" s="296"/>
      <c r="P98" s="297"/>
      <c r="Q98" s="298"/>
      <c r="R98" s="298"/>
      <c r="U98" s="387"/>
      <c r="XFD98" s="441"/>
    </row>
    <row r="99" spans="2:21 16384:16384" s="292" customFormat="1" ht="17" hidden="1" customHeight="1">
      <c r="B99" s="293" t="str">
        <f>BDD!A75</f>
        <v>Styrian goldings</v>
      </c>
      <c r="C99" s="293"/>
      <c r="D99" s="103"/>
      <c r="E99" s="294"/>
      <c r="F99" s="295"/>
      <c r="G99" s="295"/>
      <c r="H99" s="295"/>
      <c r="I99" s="295"/>
      <c r="J99" s="76" t="str">
        <f>IF(F99="","",(F99*E99*(1.65*(0.000125^((#REF!/1000)-1)))*((1-EXP(-0.04*($D$48-$E$49)))/4.15)*1000)/(K$2*(1+(((#REF!/1000)-1.05)/0.2))))</f>
        <v/>
      </c>
      <c r="K99" s="365" t="str">
        <f>IF(G99="","",(E99*G99*(1.65*(0.000125^((#REF!/1000)-1)))*((1-EXP(-0.04*($D$48-$F$49)))/4.15)*1000)/(K$2*(1+(((#REF!/1000)-1.05)/0.2))))</f>
        <v/>
      </c>
      <c r="L99" s="117"/>
      <c r="M99" s="118"/>
      <c r="N99" s="296"/>
      <c r="O99" s="296"/>
      <c r="P99" s="297"/>
      <c r="Q99" s="298"/>
      <c r="R99" s="298"/>
      <c r="U99" s="387"/>
      <c r="XFD99" s="441"/>
    </row>
    <row r="100" spans="2:21 16384:16384" s="292" customFormat="1" ht="17" hidden="1" customHeight="1">
      <c r="B100" s="293" t="str">
        <f>BDD!A76</f>
        <v>Target</v>
      </c>
      <c r="C100" s="293"/>
      <c r="D100" s="103"/>
      <c r="E100" s="294"/>
      <c r="F100" s="295"/>
      <c r="G100" s="295"/>
      <c r="H100" s="295"/>
      <c r="I100" s="295"/>
      <c r="J100" s="76" t="str">
        <f>IF(F100="","",(F100*E100*(1.65*(0.000125^((#REF!/1000)-1)))*((1-EXP(-0.04*($D$48-$E$49)))/4.15)*1000)/(K$2*(1+(((#REF!/1000)-1.05)/0.2))))</f>
        <v/>
      </c>
      <c r="K100" s="365" t="str">
        <f>IF(G100="","",(E100*G100*(1.65*(0.000125^((#REF!/1000)-1)))*((1-EXP(-0.04*($D$48-$F$49)))/4.15)*1000)/(K$2*(1+(((#REF!/1000)-1.05)/0.2))))</f>
        <v/>
      </c>
      <c r="L100" s="117"/>
      <c r="M100" s="118"/>
      <c r="N100" s="296"/>
      <c r="O100" s="296"/>
      <c r="P100" s="297"/>
      <c r="Q100" s="298"/>
      <c r="R100" s="298"/>
      <c r="U100" s="387"/>
      <c r="XFD100" s="441"/>
    </row>
    <row r="101" spans="2:21 16384:16384" s="292" customFormat="1" ht="17" hidden="1" customHeight="1">
      <c r="B101" s="293" t="str">
        <f>BDD!A77</f>
        <v>Tettnanger</v>
      </c>
      <c r="C101" s="293"/>
      <c r="D101" s="103"/>
      <c r="E101" s="294"/>
      <c r="F101" s="295"/>
      <c r="G101" s="295"/>
      <c r="H101" s="295"/>
      <c r="I101" s="295"/>
      <c r="J101" s="76" t="str">
        <f>IF(F101="","",(F101*E101*(1.65*(0.000125^((#REF!/1000)-1)))*((1-EXP(-0.04*($D$48-$E$49)))/4.15)*1000)/(K$2*(1+(((#REF!/1000)-1.05)/0.2))))</f>
        <v/>
      </c>
      <c r="K101" s="365" t="str">
        <f>IF(G101="","",(E101*G101*(1.65*(0.000125^((#REF!/1000)-1)))*((1-EXP(-0.04*($D$48-$F$49)))/4.15)*1000)/(K$2*(1+(((#REF!/1000)-1.05)/0.2))))</f>
        <v/>
      </c>
      <c r="L101" s="117"/>
      <c r="M101" s="118"/>
      <c r="N101" s="296"/>
      <c r="O101" s="296"/>
      <c r="P101" s="297"/>
      <c r="Q101" s="298"/>
      <c r="R101" s="298"/>
      <c r="U101" s="387"/>
      <c r="XFD101" s="441"/>
    </row>
    <row r="102" spans="2:21 16384:16384" s="292" customFormat="1" ht="17" hidden="1" customHeight="1">
      <c r="B102" s="293" t="str">
        <f>BDD!A78</f>
        <v>Tomahawk</v>
      </c>
      <c r="C102" s="293"/>
      <c r="D102" s="103"/>
      <c r="E102" s="294"/>
      <c r="F102" s="295"/>
      <c r="G102" s="295"/>
      <c r="H102" s="295"/>
      <c r="I102" s="295"/>
      <c r="J102" s="76" t="str">
        <f>IF(F102="","",(F102*E102*(1.65*(0.000125^((#REF!/1000)-1)))*((1-EXP(-0.04*($D$48-$E$49)))/4.15)*1000)/(K$2*(1+(((#REF!/1000)-1.05)/0.2))))</f>
        <v/>
      </c>
      <c r="K102" s="365" t="str">
        <f>IF(G102="","",(E102*G102*(1.65*(0.000125^((#REF!/1000)-1)))*((1-EXP(-0.04*($D$48-$F$49)))/4.15)*1000)/(K$2*(1+(((#REF!/1000)-1.05)/0.2))))</f>
        <v/>
      </c>
      <c r="L102" s="117"/>
      <c r="M102" s="118"/>
      <c r="N102" s="296"/>
      <c r="O102" s="296"/>
      <c r="P102" s="297"/>
      <c r="Q102" s="298"/>
      <c r="R102" s="298"/>
      <c r="U102" s="387"/>
      <c r="XFD102" s="441"/>
    </row>
    <row r="103" spans="2:21 16384:16384" s="292" customFormat="1" ht="17" hidden="1" customHeight="1">
      <c r="B103" s="293" t="str">
        <f>BDD!A79</f>
        <v>Willamette</v>
      </c>
      <c r="C103" s="293"/>
      <c r="D103" s="103"/>
      <c r="E103" s="294"/>
      <c r="F103" s="295"/>
      <c r="G103" s="295"/>
      <c r="H103" s="295"/>
      <c r="I103" s="295"/>
      <c r="J103" s="76" t="str">
        <f>IF(F103="","",(F103*E103*(1.65*(0.000125^((#REF!/1000)-1)))*((1-EXP(-0.04*($D$48-$E$49)))/4.15)*1000)/(K$2*(1+(((#REF!/1000)-1.05)/0.2))))</f>
        <v/>
      </c>
      <c r="K103" s="365" t="str">
        <f>IF(G103="","",(E103*G103*(1.65*(0.000125^((#REF!/1000)-1)))*((1-EXP(-0.04*($D$48-$F$49)))/4.15)*1000)/(K$2*(1+(((#REF!/1000)-1.05)/0.2))))</f>
        <v/>
      </c>
      <c r="L103" s="117"/>
      <c r="M103" s="118"/>
      <c r="N103" s="296"/>
      <c r="O103" s="296"/>
      <c r="P103" s="297"/>
      <c r="Q103" s="298"/>
      <c r="R103" s="298"/>
      <c r="U103" s="387"/>
      <c r="XFD103" s="441"/>
    </row>
    <row r="104" spans="2:21 16384:16384" s="292" customFormat="1" ht="17" hidden="1" customHeight="1">
      <c r="B104" s="293">
        <f>BDD!A80</f>
        <v>0</v>
      </c>
      <c r="C104" s="293"/>
      <c r="D104" s="103"/>
      <c r="E104" s="294"/>
      <c r="F104" s="295"/>
      <c r="G104" s="295"/>
      <c r="H104" s="295"/>
      <c r="I104" s="295"/>
      <c r="J104" s="76" t="str">
        <f>IF(F104="","",(F104*E104*(1.65*(0.000125^((#REF!/1000)-1)))*((1-EXP(-0.04*($D$48-$E$49)))/4.15)*1000)/(K$2*(1+(((#REF!/1000)-1.05)/0.2))))</f>
        <v/>
      </c>
      <c r="K104" s="365" t="str">
        <f>IF(G104="","",(E104*G104*(1.65*(0.000125^((#REF!/1000)-1)))*((1-EXP(-0.04*($D$48-$F$49)))/4.15)*1000)/(K$2*(1+(((#REF!/1000)-1.05)/0.2))))</f>
        <v/>
      </c>
      <c r="L104" s="117"/>
      <c r="M104" s="118"/>
      <c r="N104" s="296"/>
      <c r="O104" s="296"/>
      <c r="P104" s="297"/>
      <c r="Q104" s="298"/>
      <c r="R104" s="298"/>
      <c r="U104" s="387"/>
      <c r="XFD104" s="441"/>
    </row>
    <row r="105" spans="2:21 16384:16384" s="292" customFormat="1" ht="17" hidden="1" customHeight="1">
      <c r="B105" s="293">
        <f>BDD!A81</f>
        <v>0</v>
      </c>
      <c r="C105" s="293"/>
      <c r="D105" s="103"/>
      <c r="E105" s="294"/>
      <c r="F105" s="295"/>
      <c r="G105" s="295"/>
      <c r="H105" s="295"/>
      <c r="I105" s="295"/>
      <c r="J105" s="76" t="str">
        <f>IF(F105="","",(F105*E105*(1.65*(0.000125^((#REF!/1000)-1)))*((1-EXP(-0.04*($D$48-$E$49)))/4.15)*1000)/(K$2*(1+(((#REF!/1000)-1.05)/0.2))))</f>
        <v/>
      </c>
      <c r="K105" s="365" t="str">
        <f>IF(G105="","",(E105*G105*(1.65*(0.000125^((#REF!/1000)-1)))*((1-EXP(-0.04*($D$48-$F$49)))/4.15)*1000)/(K$2*(1+(((#REF!/1000)-1.05)/0.2))))</f>
        <v/>
      </c>
      <c r="L105" s="117"/>
      <c r="M105" s="118"/>
      <c r="N105" s="296"/>
      <c r="O105" s="296"/>
      <c r="P105" s="297"/>
      <c r="Q105" s="298"/>
      <c r="R105" s="298"/>
      <c r="U105" s="387"/>
      <c r="XFD105" s="441"/>
    </row>
    <row r="106" spans="2:21 16384:16384" s="292" customFormat="1" ht="17" hidden="1" customHeight="1">
      <c r="B106" s="293">
        <f>BDD!A82</f>
        <v>0</v>
      </c>
      <c r="C106" s="293"/>
      <c r="D106" s="103"/>
      <c r="E106" s="294"/>
      <c r="F106" s="295"/>
      <c r="G106" s="295"/>
      <c r="H106" s="295"/>
      <c r="I106" s="295"/>
      <c r="J106" s="76" t="str">
        <f>IF(F106="","",(F106*E106*(1.65*(0.000125^((#REF!/1000)-1)))*((1-EXP(-0.04*($D$48-$E$49)))/4.15)*1000)/(K$2*(1+(((#REF!/1000)-1.05)/0.2))))</f>
        <v/>
      </c>
      <c r="K106" s="365" t="str">
        <f>IF(G106="","",(E106*G106*(1.65*(0.000125^((#REF!/1000)-1)))*((1-EXP(-0.04*($D$48-$F$49)))/4.15)*1000)/(K$2*(1+(((#REF!/1000)-1.05)/0.2))))</f>
        <v/>
      </c>
      <c r="L106" s="117"/>
      <c r="M106" s="118"/>
      <c r="N106" s="296"/>
      <c r="O106" s="296"/>
      <c r="P106" s="297"/>
      <c r="Q106" s="298"/>
      <c r="R106" s="298"/>
      <c r="U106" s="387"/>
      <c r="XFD106" s="441"/>
    </row>
    <row r="107" spans="2:21 16384:16384" s="292" customFormat="1" ht="17" hidden="1" customHeight="1">
      <c r="B107" s="293">
        <f>BDD!A83</f>
        <v>0</v>
      </c>
      <c r="C107" s="293"/>
      <c r="D107" s="103"/>
      <c r="E107" s="294"/>
      <c r="F107" s="295"/>
      <c r="G107" s="295"/>
      <c r="H107" s="295"/>
      <c r="I107" s="295"/>
      <c r="J107" s="76" t="str">
        <f>IF(F107="","",(F107*E107*(1.65*(0.000125^((#REF!/1000)-1)))*((1-EXP(-0.04*($D$48-$E$49)))/4.15)*1000)/(K$2*(1+(((#REF!/1000)-1.05)/0.2))))</f>
        <v/>
      </c>
      <c r="K107" s="365" t="str">
        <f>IF(G107="","",(E107*G107*(1.65*(0.000125^((#REF!/1000)-1)))*((1-EXP(-0.04*($D$48-$F$49)))/4.15)*1000)/(K$2*(1+(((#REF!/1000)-1.05)/0.2))))</f>
        <v/>
      </c>
      <c r="L107" s="117"/>
      <c r="M107" s="118"/>
      <c r="N107" s="296"/>
      <c r="O107" s="296"/>
      <c r="P107" s="297"/>
      <c r="Q107" s="298"/>
      <c r="R107" s="298"/>
      <c r="U107" s="387"/>
      <c r="XFD107" s="441"/>
    </row>
    <row r="108" spans="2:21 16384:16384" s="292" customFormat="1" ht="17" hidden="1" customHeight="1">
      <c r="B108" s="293">
        <f>BDD!A84</f>
        <v>0</v>
      </c>
      <c r="C108" s="293"/>
      <c r="D108" s="103"/>
      <c r="E108" s="294"/>
      <c r="F108" s="295"/>
      <c r="G108" s="295"/>
      <c r="H108" s="295"/>
      <c r="I108" s="295"/>
      <c r="J108" s="76" t="str">
        <f>IF(F108="","",(F108*E108*(1.65*(0.000125^((#REF!/1000)-1)))*((1-EXP(-0.04*($D$48-$E$49)))/4.15)*1000)/(K$2*(1+(((#REF!/1000)-1.05)/0.2))))</f>
        <v/>
      </c>
      <c r="K108" s="365" t="str">
        <f>IF(G108="","",(E108*G108*(1.65*(0.000125^((#REF!/1000)-1)))*((1-EXP(-0.04*($D$48-$F$49)))/4.15)*1000)/(K$2*(1+(((#REF!/1000)-1.05)/0.2))))</f>
        <v/>
      </c>
      <c r="L108" s="117"/>
      <c r="M108" s="118"/>
      <c r="N108" s="296"/>
      <c r="O108" s="296"/>
      <c r="P108" s="297"/>
      <c r="Q108" s="298"/>
      <c r="R108" s="298"/>
      <c r="U108" s="387"/>
      <c r="XFD108" s="441"/>
    </row>
    <row r="109" spans="2:21 16384:16384" s="292" customFormat="1" ht="17" hidden="1" customHeight="1">
      <c r="B109" s="293">
        <f>BDD!A85</f>
        <v>0</v>
      </c>
      <c r="C109" s="293"/>
      <c r="D109" s="103"/>
      <c r="E109" s="294"/>
      <c r="F109" s="295"/>
      <c r="G109" s="295"/>
      <c r="H109" s="295"/>
      <c r="I109" s="295"/>
      <c r="J109" s="76" t="str">
        <f>IF(F109="","",(F109*E109*(1.65*(0.000125^((#REF!/1000)-1)))*((1-EXP(-0.04*($D$48-$E$49)))/4.15)*1000)/(K$2*(1+(((#REF!/1000)-1.05)/0.2))))</f>
        <v/>
      </c>
      <c r="K109" s="365" t="str">
        <f>IF(G109="","",(E109*G109*(1.65*(0.000125^((#REF!/1000)-1)))*((1-EXP(-0.04*($D$48-$F$49)))/4.15)*1000)/(K$2*(1+(((#REF!/1000)-1.05)/0.2))))</f>
        <v/>
      </c>
      <c r="L109" s="117"/>
      <c r="M109" s="118"/>
      <c r="N109" s="296"/>
      <c r="O109" s="296"/>
      <c r="P109" s="297"/>
      <c r="Q109" s="298"/>
      <c r="R109" s="298"/>
      <c r="U109" s="387"/>
      <c r="XFD109" s="441"/>
    </row>
    <row r="110" spans="2:21 16384:16384" s="292" customFormat="1" ht="17" hidden="1" customHeight="1">
      <c r="B110" s="293">
        <f>BDD!A86</f>
        <v>0</v>
      </c>
      <c r="C110" s="293"/>
      <c r="D110" s="103"/>
      <c r="E110" s="294"/>
      <c r="F110" s="295"/>
      <c r="G110" s="295"/>
      <c r="H110" s="295"/>
      <c r="I110" s="295"/>
      <c r="J110" s="76" t="str">
        <f>IF(F110="","",(F110*E110*(1.65*(0.000125^((#REF!/1000)-1)))*((1-EXP(-0.04*($D$48-$E$49)))/4.15)*1000)/(K$2*(1+(((#REF!/1000)-1.05)/0.2))))</f>
        <v/>
      </c>
      <c r="K110" s="365" t="str">
        <f>IF(G110="","",(E110*G110*(1.65*(0.000125^((#REF!/1000)-1)))*((1-EXP(-0.04*($D$48-$F$49)))/4.15)*1000)/(K$2*(1+(((#REF!/1000)-1.05)/0.2))))</f>
        <v/>
      </c>
      <c r="L110" s="117"/>
      <c r="M110" s="118"/>
      <c r="N110" s="296"/>
      <c r="O110" s="296"/>
      <c r="P110" s="297"/>
      <c r="Q110" s="298"/>
      <c r="R110" s="298"/>
      <c r="U110" s="387"/>
      <c r="XFD110" s="441"/>
    </row>
    <row r="111" spans="2:21 16384:16384" s="292" customFormat="1" ht="17" hidden="1" customHeight="1">
      <c r="B111" s="293">
        <f>BDD!A87</f>
        <v>0</v>
      </c>
      <c r="C111" s="293"/>
      <c r="D111" s="103"/>
      <c r="E111" s="294"/>
      <c r="F111" s="295"/>
      <c r="G111" s="295"/>
      <c r="H111" s="295"/>
      <c r="I111" s="295"/>
      <c r="J111" s="76" t="str">
        <f>IF(F111="","",(F111*E111*(1.65*(0.000125^((#REF!/1000)-1)))*((1-EXP(-0.04*($D$48-$E$49)))/4.15)*1000)/(K$2*(1+(((#REF!/1000)-1.05)/0.2))))</f>
        <v/>
      </c>
      <c r="K111" s="365" t="str">
        <f>IF(G111="","",(E111*G111*(1.65*(0.000125^((#REF!/1000)-1)))*((1-EXP(-0.04*($D$48-$F$49)))/4.15)*1000)/(K$2*(1+(((#REF!/1000)-1.05)/0.2))))</f>
        <v/>
      </c>
      <c r="L111" s="117"/>
      <c r="M111" s="118"/>
      <c r="N111" s="296"/>
      <c r="O111" s="296"/>
      <c r="P111" s="297"/>
      <c r="Q111" s="298"/>
      <c r="R111" s="298"/>
      <c r="U111" s="387"/>
      <c r="XFD111" s="441"/>
    </row>
    <row r="112" spans="2:21 16384:16384" s="292" customFormat="1" ht="17" hidden="1" customHeight="1">
      <c r="B112" s="293">
        <f>BDD!A88</f>
        <v>0</v>
      </c>
      <c r="C112" s="293"/>
      <c r="D112" s="103"/>
      <c r="E112" s="294"/>
      <c r="F112" s="295"/>
      <c r="G112" s="295"/>
      <c r="H112" s="295"/>
      <c r="I112" s="295"/>
      <c r="J112" s="76" t="str">
        <f>IF(F112="","",(F112*E112*(1.65*(0.000125^((#REF!/1000)-1)))*((1-EXP(-0.04*($D$48-$E$49)))/4.15)*1000)/(K$2*(1+(((#REF!/1000)-1.05)/0.2))))</f>
        <v/>
      </c>
      <c r="K112" s="365" t="str">
        <f>IF(G112="","",(E112*G112*(1.65*(0.000125^((#REF!/1000)-1)))*((1-EXP(-0.04*($D$48-$F$49)))/4.15)*1000)/(K$2*(1+(((#REF!/1000)-1.05)/0.2))))</f>
        <v/>
      </c>
      <c r="L112" s="117"/>
      <c r="M112" s="118"/>
      <c r="N112" s="296"/>
      <c r="O112" s="296"/>
      <c r="P112" s="297"/>
      <c r="Q112" s="298"/>
      <c r="R112" s="298"/>
      <c r="U112" s="387"/>
      <c r="XFD112" s="441"/>
    </row>
    <row r="113" spans="1:30 16384:16384" s="292" customFormat="1" ht="17" hidden="1" customHeight="1">
      <c r="B113" s="293">
        <f>BDD!A89</f>
        <v>0</v>
      </c>
      <c r="C113" s="293"/>
      <c r="D113" s="103"/>
      <c r="E113" s="294"/>
      <c r="F113" s="295"/>
      <c r="G113" s="295"/>
      <c r="H113" s="295"/>
      <c r="I113" s="295"/>
      <c r="J113" s="76" t="str">
        <f>IF(F113="","",(F113*E113*(1.65*(0.000125^((#REF!/1000)-1)))*((1-EXP(-0.04*($D$48-$E$49)))/4.15)*1000)/(K$2*(1+(((#REF!/1000)-1.05)/0.2))))</f>
        <v/>
      </c>
      <c r="K113" s="365" t="str">
        <f>IF(G113="","",(E113*G113*(1.65*(0.000125^((#REF!/1000)-1)))*((1-EXP(-0.04*($D$48-$F$49)))/4.15)*1000)/(K$2*(1+(((#REF!/1000)-1.05)/0.2))))</f>
        <v/>
      </c>
      <c r="L113" s="117"/>
      <c r="M113" s="118"/>
      <c r="N113" s="296"/>
      <c r="O113" s="296"/>
      <c r="P113" s="297"/>
      <c r="Q113" s="298"/>
      <c r="R113" s="298"/>
      <c r="U113" s="387"/>
      <c r="XFD113" s="441"/>
    </row>
    <row r="114" spans="1:30 16384:16384" s="292" customFormat="1" ht="17" hidden="1" customHeight="1" thickBot="1">
      <c r="B114" s="293">
        <f>BDD!A90</f>
        <v>0</v>
      </c>
      <c r="C114" s="293"/>
      <c r="D114" s="103"/>
      <c r="E114" s="294"/>
      <c r="F114" s="295"/>
      <c r="G114" s="295"/>
      <c r="H114" s="295"/>
      <c r="I114" s="295"/>
      <c r="J114" s="427" t="str">
        <f>IF(F114="","",(F114*E114*(1.65*(0.000125^((#REF!/1000)-1)))*((1-EXP(-0.04*($D$48-$E$49)))/4.15)*1000)/(K$2*(1+(((#REF!/1000)-1.05)/0.2))))</f>
        <v/>
      </c>
      <c r="K114" s="428" t="str">
        <f>IF(G114="","",(E114*G114*(1.65*(0.000125^((#REF!/1000)-1)))*((1-EXP(-0.04*($D$48-$F$49)))/4.15)*1000)/(K$2*(1+(((#REF!/1000)-1.05)/0.2))))</f>
        <v/>
      </c>
      <c r="L114" s="429"/>
      <c r="M114" s="430"/>
      <c r="N114" s="296"/>
      <c r="O114" s="296"/>
      <c r="P114" s="297"/>
      <c r="Q114" s="298"/>
      <c r="R114" s="298"/>
      <c r="U114" s="387"/>
      <c r="XFD114" s="441"/>
    </row>
    <row r="115" spans="1:30 16384:16384" ht="17" customHeight="1" thickBot="1">
      <c r="B115" s="367"/>
      <c r="C115" s="102" t="s">
        <v>27</v>
      </c>
      <c r="D115" s="729">
        <f>SUM(E50:I58)</f>
        <v>77</v>
      </c>
      <c r="E115" s="300">
        <f t="shared" ref="E115:G115" si="8">SUM(E50:E58)/$C5</f>
        <v>0.16666666666666666</v>
      </c>
      <c r="F115" s="300">
        <f t="shared" si="8"/>
        <v>1.25</v>
      </c>
      <c r="G115" s="300">
        <f t="shared" si="8"/>
        <v>1.6666666666666667</v>
      </c>
      <c r="H115" s="300">
        <f>SUM(H50:H58)/$C5</f>
        <v>3.3333333333333335</v>
      </c>
      <c r="I115" s="300">
        <f>SUM(I50:I58)/$C5</f>
        <v>0</v>
      </c>
      <c r="J115" s="495">
        <f>SUM(J50:J58)/SUM($J50:$M58)</f>
        <v>0.11122035163856986</v>
      </c>
      <c r="K115" s="866">
        <f t="shared" ref="K115:M115" si="9">SUM(K50:K58)/SUM($J50:$M58)</f>
        <v>0.64106685519902218</v>
      </c>
      <c r="L115" s="866"/>
      <c r="M115" s="496">
        <f t="shared" si="9"/>
        <v>0.24771279316240793</v>
      </c>
      <c r="N115" s="476"/>
      <c r="O115" s="476"/>
      <c r="P115" s="302"/>
      <c r="Q115" s="303"/>
      <c r="R115" s="303"/>
      <c r="S115" s="387"/>
    </row>
    <row r="116" spans="1:30 16384:16384" ht="17" customHeight="1">
      <c r="A116" s="444"/>
      <c r="B116" s="444"/>
      <c r="C116" s="372"/>
      <c r="D116" s="493"/>
      <c r="E116" s="494"/>
      <c r="F116" s="494"/>
      <c r="G116" s="494"/>
      <c r="H116" s="494"/>
      <c r="I116" s="494"/>
      <c r="J116" s="868" t="str">
        <f>"Total: "&amp;ROUND(SUM(J50:M58),1)&amp;" IBU | Ratio="&amp;ROUND(SUM(J50:M58)/(C4-1000),2)</f>
        <v>Total: 54.4 IBU | Ratio=1.48</v>
      </c>
      <c r="K116" s="869"/>
      <c r="L116" s="869"/>
      <c r="M116" s="870"/>
      <c r="N116" s="476"/>
      <c r="O116" s="476"/>
      <c r="P116" s="302"/>
      <c r="Q116" s="303"/>
      <c r="R116" s="303"/>
      <c r="S116" s="441"/>
      <c r="T116" s="444"/>
      <c r="U116" s="444"/>
    </row>
    <row r="117" spans="1:30 16384:16384" ht="17" customHeight="1" thickBot="1">
      <c r="B117" s="367"/>
      <c r="C117" s="367"/>
      <c r="D117" s="367"/>
      <c r="E117" s="367"/>
      <c r="F117" s="367"/>
      <c r="G117" s="367"/>
      <c r="H117" s="367"/>
      <c r="I117" s="387"/>
      <c r="J117" s="871" t="str">
        <f>F2</f>
        <v>20a. American Porter</v>
      </c>
      <c r="K117" s="872"/>
      <c r="L117" s="872"/>
      <c r="M117" s="355" t="str">
        <f>(ROUND(G8,2)&amp;" - "&amp;ROUND(I8,2))</f>
        <v>0.57 - 0.69</v>
      </c>
      <c r="N117" s="476"/>
      <c r="O117" s="476"/>
      <c r="P117" s="302"/>
      <c r="Q117" s="387"/>
      <c r="R117" s="387"/>
      <c r="S117" s="387"/>
    </row>
    <row r="118" spans="1:30 16384:16384" ht="17" customHeight="1" thickBot="1">
      <c r="A118" s="477"/>
      <c r="B118" s="477"/>
      <c r="C118" s="477"/>
      <c r="D118" s="477"/>
      <c r="E118" s="477"/>
      <c r="F118" s="477"/>
      <c r="G118" s="477"/>
      <c r="H118" s="477"/>
      <c r="I118" s="441"/>
      <c r="J118" s="479"/>
      <c r="K118" s="479"/>
      <c r="L118" s="479"/>
      <c r="M118" s="485"/>
      <c r="N118" s="476"/>
      <c r="O118" s="476"/>
      <c r="P118" s="302"/>
      <c r="Q118" s="441"/>
      <c r="R118" s="441"/>
      <c r="S118" s="441"/>
      <c r="T118" s="477"/>
      <c r="U118" s="477"/>
    </row>
    <row r="119" spans="1:30 16384:16384" ht="17" customHeight="1">
      <c r="A119" s="477"/>
      <c r="B119" s="802" t="s">
        <v>358</v>
      </c>
      <c r="C119" s="803"/>
      <c r="D119" s="803"/>
      <c r="E119" s="803"/>
      <c r="F119" s="803"/>
      <c r="G119" s="804"/>
      <c r="H119" s="477"/>
      <c r="I119" s="441"/>
      <c r="J119" s="479"/>
      <c r="K119" s="479"/>
      <c r="L119" s="479"/>
      <c r="M119" s="485"/>
      <c r="N119" s="476"/>
      <c r="O119" s="476"/>
      <c r="P119" s="302"/>
      <c r="Q119" s="441"/>
      <c r="R119" s="441"/>
      <c r="S119" s="441"/>
      <c r="T119" s="477"/>
      <c r="U119" s="477"/>
    </row>
    <row r="120" spans="1:30 16384:16384" ht="17" customHeight="1">
      <c r="A120" s="477"/>
      <c r="B120" s="876" t="s">
        <v>359</v>
      </c>
      <c r="C120" s="875"/>
      <c r="D120" s="874" t="s">
        <v>360</v>
      </c>
      <c r="E120" s="875"/>
      <c r="F120" s="416" t="s">
        <v>361</v>
      </c>
      <c r="G120" s="317" t="s">
        <v>2886</v>
      </c>
      <c r="H120" s="477"/>
      <c r="I120" s="441"/>
      <c r="J120" s="479"/>
      <c r="K120" s="479"/>
      <c r="L120" s="479"/>
      <c r="M120" s="485"/>
      <c r="N120" s="476"/>
      <c r="O120" s="476"/>
      <c r="P120" s="302"/>
      <c r="Q120" s="441"/>
      <c r="R120" s="441"/>
      <c r="S120" s="441"/>
      <c r="T120" s="477"/>
      <c r="U120" s="477"/>
    </row>
    <row r="121" spans="1:30 16384:16384" ht="17" customHeight="1">
      <c r="A121" s="477"/>
      <c r="B121" s="805"/>
      <c r="C121" s="806"/>
      <c r="D121" s="807"/>
      <c r="E121" s="806"/>
      <c r="F121" s="601"/>
      <c r="G121" s="577">
        <v>0</v>
      </c>
      <c r="H121" s="477"/>
      <c r="I121" s="441"/>
      <c r="J121" s="479"/>
      <c r="K121" s="479"/>
      <c r="L121" s="479"/>
      <c r="M121" s="485"/>
      <c r="N121" s="476"/>
      <c r="O121" s="476"/>
      <c r="P121" s="302"/>
      <c r="Q121" s="441"/>
      <c r="R121" s="441"/>
      <c r="S121" s="441"/>
      <c r="T121" s="477"/>
      <c r="U121" s="477"/>
      <c r="V121" s="624">
        <f>IF(F121="",0,((F121*G121)/($C$5*19.5*($C$4/1000)))/100)</f>
        <v>0</v>
      </c>
    </row>
    <row r="122" spans="1:30 16384:16384" ht="17" customHeight="1">
      <c r="A122" s="477"/>
      <c r="B122" s="805"/>
      <c r="C122" s="806"/>
      <c r="D122" s="807"/>
      <c r="E122" s="806"/>
      <c r="F122" s="601"/>
      <c r="G122" s="577"/>
      <c r="H122" s="477"/>
      <c r="I122" s="441"/>
      <c r="J122" s="479"/>
      <c r="K122" s="479"/>
      <c r="L122" s="479"/>
      <c r="M122" s="485"/>
      <c r="N122" s="476"/>
      <c r="O122" s="476"/>
      <c r="P122" s="302"/>
      <c r="Q122" s="441"/>
      <c r="R122" s="441"/>
      <c r="S122" s="441"/>
      <c r="T122" s="477"/>
      <c r="U122" s="477"/>
      <c r="V122" s="624">
        <f t="shared" ref="V122:V126" si="10">IF(F122="",0,((F122*G122)/($C$5*19.5*($C$4/1000)))/100)</f>
        <v>0</v>
      </c>
    </row>
    <row r="123" spans="1:30 16384:16384" ht="17" customHeight="1">
      <c r="A123" s="477"/>
      <c r="B123" s="805"/>
      <c r="C123" s="806"/>
      <c r="D123" s="807"/>
      <c r="E123" s="806"/>
      <c r="F123" s="601"/>
      <c r="G123" s="577"/>
      <c r="H123" s="477"/>
      <c r="I123" s="441"/>
      <c r="J123" s="479"/>
      <c r="K123" s="479"/>
      <c r="L123" s="479"/>
      <c r="M123" s="485"/>
      <c r="N123" s="476"/>
      <c r="O123" s="476"/>
      <c r="P123" s="302"/>
      <c r="Q123" s="441"/>
      <c r="R123" s="441"/>
      <c r="S123" s="441"/>
      <c r="T123" s="477"/>
      <c r="U123" s="477"/>
      <c r="V123" s="624">
        <f t="shared" si="10"/>
        <v>0</v>
      </c>
    </row>
    <row r="124" spans="1:30 16384:16384" ht="17" customHeight="1">
      <c r="A124" s="477"/>
      <c r="B124" s="805"/>
      <c r="C124" s="806"/>
      <c r="D124" s="807"/>
      <c r="E124" s="806"/>
      <c r="F124" s="601"/>
      <c r="G124" s="577"/>
      <c r="H124" s="477"/>
      <c r="I124" s="441"/>
      <c r="J124" s="479"/>
      <c r="K124" s="479"/>
      <c r="L124" s="479"/>
      <c r="M124" s="485"/>
      <c r="N124" s="476"/>
      <c r="O124" s="476"/>
      <c r="P124" s="302"/>
      <c r="Q124" s="441"/>
      <c r="R124" s="441"/>
      <c r="S124" s="441"/>
      <c r="T124" s="477"/>
      <c r="U124" s="477"/>
      <c r="V124" s="624">
        <f t="shared" si="10"/>
        <v>0</v>
      </c>
    </row>
    <row r="125" spans="1:30 16384:16384" ht="17" customHeight="1">
      <c r="A125" s="477"/>
      <c r="B125" s="805"/>
      <c r="C125" s="806"/>
      <c r="D125" s="807"/>
      <c r="E125" s="806"/>
      <c r="F125" s="601"/>
      <c r="G125" s="577"/>
      <c r="H125" s="477"/>
      <c r="I125" s="441"/>
      <c r="J125" s="479"/>
      <c r="K125" s="479"/>
      <c r="L125" s="479"/>
      <c r="M125" s="485"/>
      <c r="N125" s="476"/>
      <c r="O125" s="476"/>
      <c r="P125" s="302"/>
      <c r="Q125" s="441"/>
      <c r="R125" s="441"/>
      <c r="S125" s="441"/>
      <c r="T125" s="477"/>
      <c r="U125" s="477"/>
      <c r="V125" s="624">
        <f t="shared" si="10"/>
        <v>0</v>
      </c>
    </row>
    <row r="126" spans="1:30 16384:16384" ht="17" customHeight="1" thickBot="1">
      <c r="A126" s="477"/>
      <c r="B126" s="816"/>
      <c r="C126" s="817"/>
      <c r="D126" s="873"/>
      <c r="E126" s="817"/>
      <c r="F126" s="602"/>
      <c r="G126" s="578"/>
      <c r="H126" s="477"/>
      <c r="I126" s="441"/>
      <c r="J126" s="479"/>
      <c r="K126" s="479"/>
      <c r="L126" s="479"/>
      <c r="M126" s="485"/>
      <c r="N126" s="476"/>
      <c r="O126" s="476"/>
      <c r="P126" s="302"/>
      <c r="Q126" s="441"/>
      <c r="R126" s="441"/>
      <c r="S126" s="441"/>
      <c r="T126" s="477"/>
      <c r="U126" s="477"/>
      <c r="V126" s="624">
        <f t="shared" si="10"/>
        <v>0</v>
      </c>
    </row>
    <row r="127" spans="1:30 16384:16384" ht="17" customHeight="1" thickBot="1">
      <c r="A127" s="477"/>
      <c r="B127" s="477"/>
      <c r="C127" s="477"/>
      <c r="D127" s="477"/>
      <c r="E127" s="477"/>
      <c r="F127" s="477"/>
      <c r="G127" s="623">
        <f>SUM(V121:V126)</f>
        <v>0</v>
      </c>
      <c r="H127" s="477"/>
      <c r="I127" s="441"/>
      <c r="J127" s="479"/>
      <c r="K127" s="479"/>
      <c r="L127" s="479"/>
      <c r="M127" s="485"/>
      <c r="N127" s="476"/>
      <c r="O127" s="476"/>
      <c r="P127" s="302"/>
      <c r="Q127" s="441"/>
      <c r="R127" s="441"/>
      <c r="S127" s="441"/>
      <c r="T127" s="477"/>
      <c r="U127" s="477"/>
    </row>
    <row r="128" spans="1:30 16384:16384" s="367" customFormat="1" ht="27" customHeight="1">
      <c r="B128" s="176" t="s">
        <v>38</v>
      </c>
      <c r="C128" s="444"/>
      <c r="D128" s="444"/>
      <c r="E128" s="441"/>
      <c r="F128" s="441"/>
      <c r="G128" s="441"/>
      <c r="N128" s="441"/>
      <c r="O128" s="441"/>
      <c r="P128" s="387"/>
      <c r="V128" s="155"/>
      <c r="W128" s="155"/>
      <c r="X128" s="155"/>
      <c r="Y128" s="155"/>
      <c r="Z128" s="155"/>
      <c r="AA128" s="155"/>
      <c r="AB128" s="155"/>
      <c r="AC128" s="155"/>
      <c r="AD128" s="155"/>
      <c r="XFD128" s="776"/>
    </row>
    <row r="129" spans="2:30 16384:16384" s="367" customFormat="1" ht="17" customHeight="1" thickBot="1">
      <c r="B129" s="176"/>
      <c r="C129" s="444"/>
      <c r="D129" s="572"/>
      <c r="E129" s="572"/>
      <c r="F129" s="441"/>
      <c r="G129" s="441"/>
      <c r="N129" s="477"/>
      <c r="O129" s="477"/>
      <c r="V129" s="155"/>
      <c r="W129" s="155"/>
      <c r="X129" s="155"/>
      <c r="Y129" s="155"/>
      <c r="Z129" s="155"/>
      <c r="AA129" s="155"/>
      <c r="AB129" s="155"/>
      <c r="AC129" s="155"/>
      <c r="AD129" s="155"/>
      <c r="XFD129" s="776"/>
    </row>
    <row r="130" spans="2:30 16384:16384" s="367" customFormat="1" ht="17" customHeight="1" thickBot="1">
      <c r="B130" s="795" t="s">
        <v>370</v>
      </c>
      <c r="C130" s="796"/>
      <c r="D130" s="575">
        <f>15.195*(C5*0.9*0.264)*((VLOOKUP(B130,BDD!D34:F41,3,0)-3.03781+(0.050062*(20*9/5+32))-(0.00026555*((20*9/5+32)^2))))/C5</f>
        <v>6.6376054909296043</v>
      </c>
      <c r="E130" s="573"/>
      <c r="F130" s="441"/>
      <c r="G130" s="574"/>
      <c r="N130" s="477"/>
      <c r="O130" s="477"/>
      <c r="V130" s="155"/>
      <c r="W130" s="155"/>
      <c r="X130" s="155"/>
      <c r="Y130" s="155"/>
      <c r="Z130" s="155"/>
      <c r="AA130" s="155"/>
      <c r="AB130" s="155"/>
      <c r="AC130" s="155"/>
      <c r="AD130" s="155"/>
      <c r="XFD130" s="776"/>
    </row>
    <row r="131" spans="2:30 16384:16384" s="367" customFormat="1" ht="17" customHeight="1" thickBot="1">
      <c r="D131" s="623">
        <f>((D130*0.0634)/100)</f>
        <v>4.2082418812493692E-3</v>
      </c>
      <c r="E131" s="441"/>
      <c r="F131" s="441"/>
      <c r="G131" s="441"/>
      <c r="N131" s="477"/>
      <c r="O131" s="477"/>
      <c r="V131" s="155"/>
      <c r="W131" s="155"/>
      <c r="X131" s="155"/>
      <c r="Y131" s="155"/>
      <c r="Z131" s="155"/>
      <c r="AA131" s="155"/>
      <c r="AB131" s="155"/>
      <c r="AC131" s="155"/>
      <c r="AD131" s="155"/>
      <c r="XFD131" s="776"/>
    </row>
    <row r="132" spans="2:30 16384:16384" s="367" customFormat="1" ht="17" customHeight="1">
      <c r="N132" s="477"/>
      <c r="O132" s="477"/>
      <c r="V132" s="155"/>
      <c r="W132" s="155"/>
      <c r="X132" s="155"/>
      <c r="Y132" s="155"/>
      <c r="Z132" s="155"/>
      <c r="AA132" s="155"/>
      <c r="AB132" s="155"/>
      <c r="AC132" s="155"/>
      <c r="AD132" s="155"/>
      <c r="XFD132" s="776"/>
    </row>
    <row r="133" spans="2:30 16384:16384" s="367" customFormat="1" ht="17" customHeight="1">
      <c r="N133" s="477"/>
      <c r="O133" s="477"/>
      <c r="V133" s="155"/>
      <c r="W133" s="155"/>
      <c r="X133" s="155"/>
      <c r="Y133" s="155"/>
      <c r="Z133" s="155"/>
      <c r="AA133" s="155"/>
      <c r="AB133" s="155"/>
      <c r="AC133" s="155"/>
      <c r="AD133" s="155"/>
      <c r="XFD133" s="776"/>
    </row>
    <row r="134" spans="2:30 16384:16384" s="367" customFormat="1" ht="17" customHeight="1">
      <c r="N134" s="477"/>
      <c r="O134" s="477"/>
      <c r="V134" s="155"/>
      <c r="W134" s="155"/>
      <c r="X134" s="155"/>
      <c r="Y134" s="155"/>
      <c r="Z134" s="155"/>
      <c r="AA134" s="155"/>
      <c r="AB134" s="155"/>
      <c r="AC134" s="155"/>
      <c r="AD134" s="155"/>
      <c r="XFD134" s="776"/>
    </row>
    <row r="135" spans="2:30 16384:16384" s="367" customFormat="1" ht="17" customHeight="1">
      <c r="N135" s="477"/>
      <c r="O135" s="477"/>
      <c r="V135" s="155"/>
      <c r="W135" s="155"/>
      <c r="X135" s="155"/>
      <c r="Y135" s="155"/>
      <c r="Z135" s="155"/>
      <c r="AA135" s="155"/>
      <c r="AB135" s="155"/>
      <c r="AC135" s="155"/>
      <c r="AD135" s="155"/>
      <c r="XFD135" s="776"/>
    </row>
    <row r="136" spans="2:30 16384:16384" s="367" customFormat="1" ht="17" customHeight="1">
      <c r="N136" s="477"/>
      <c r="O136" s="477"/>
      <c r="V136" s="155"/>
      <c r="W136" s="155"/>
      <c r="X136" s="155"/>
      <c r="Y136" s="155"/>
      <c r="Z136" s="155"/>
      <c r="AA136" s="155"/>
      <c r="AB136" s="155"/>
      <c r="AC136" s="155"/>
      <c r="AD136" s="155"/>
      <c r="XFD136" s="776"/>
    </row>
    <row r="137" spans="2:30 16384:16384" s="367" customFormat="1" ht="17" customHeight="1">
      <c r="N137" s="477"/>
      <c r="O137" s="477"/>
      <c r="V137" s="155"/>
      <c r="W137" s="155"/>
      <c r="X137" s="155"/>
      <c r="Y137" s="155"/>
      <c r="Z137" s="155"/>
      <c r="AA137" s="155"/>
      <c r="AB137" s="155"/>
      <c r="AC137" s="155"/>
      <c r="AD137" s="155"/>
      <c r="XFD137" s="776"/>
    </row>
    <row r="138" spans="2:30 16384:16384" s="367" customFormat="1" ht="17" customHeight="1">
      <c r="N138" s="477"/>
      <c r="O138" s="477"/>
      <c r="V138" s="155"/>
      <c r="W138" s="155"/>
      <c r="X138" s="155"/>
      <c r="Y138" s="155"/>
      <c r="Z138" s="155"/>
      <c r="AA138" s="155"/>
      <c r="AB138" s="155"/>
      <c r="AC138" s="155"/>
      <c r="AD138" s="155"/>
      <c r="XFD138" s="776"/>
    </row>
    <row r="139" spans="2:30 16384:16384" s="367" customFormat="1" ht="17" customHeight="1">
      <c r="N139" s="477"/>
      <c r="O139" s="477"/>
      <c r="V139" s="155"/>
      <c r="W139" s="155"/>
      <c r="X139" s="155"/>
      <c r="Y139" s="155"/>
      <c r="Z139" s="155"/>
      <c r="AA139" s="155"/>
      <c r="AB139" s="155"/>
      <c r="AC139" s="155"/>
      <c r="AD139" s="155"/>
      <c r="XFD139" s="776"/>
    </row>
    <row r="140" spans="2:30 16384:16384" s="367" customFormat="1" ht="17" customHeight="1">
      <c r="N140" s="477"/>
      <c r="O140" s="477"/>
      <c r="V140" s="155"/>
      <c r="W140" s="155"/>
      <c r="X140" s="155"/>
      <c r="Y140" s="155"/>
      <c r="Z140" s="155"/>
      <c r="AA140" s="155"/>
      <c r="AB140" s="155"/>
      <c r="AC140" s="155"/>
      <c r="AD140" s="155"/>
      <c r="XFD140" s="776"/>
    </row>
    <row r="141" spans="2:30 16384:16384" s="367" customFormat="1" ht="17" customHeight="1">
      <c r="N141" s="477"/>
      <c r="O141" s="477"/>
      <c r="V141" s="155"/>
      <c r="W141" s="155"/>
      <c r="X141" s="155"/>
      <c r="Y141" s="155"/>
      <c r="Z141" s="155"/>
      <c r="AA141" s="155"/>
      <c r="AB141" s="155"/>
      <c r="AC141" s="155"/>
      <c r="AD141" s="155"/>
      <c r="XFD141" s="776"/>
    </row>
    <row r="142" spans="2:30 16384:16384" s="367" customFormat="1" ht="17" customHeight="1">
      <c r="N142" s="477"/>
      <c r="O142" s="477"/>
      <c r="V142" s="155"/>
      <c r="W142" s="155"/>
      <c r="X142" s="155"/>
      <c r="Y142" s="155"/>
      <c r="Z142" s="155"/>
      <c r="AA142" s="155"/>
      <c r="AB142" s="155"/>
      <c r="AC142" s="155"/>
      <c r="AD142" s="155"/>
      <c r="XFD142" s="776"/>
    </row>
    <row r="143" spans="2:30 16384:16384" s="367" customFormat="1" ht="17" customHeight="1">
      <c r="N143" s="477"/>
      <c r="O143" s="477"/>
      <c r="V143" s="155"/>
      <c r="W143" s="155"/>
      <c r="X143" s="155"/>
      <c r="Y143" s="155"/>
      <c r="Z143" s="155"/>
      <c r="AA143" s="155"/>
      <c r="AB143" s="155"/>
      <c r="AC143" s="155"/>
      <c r="AD143" s="155"/>
      <c r="XFD143" s="776"/>
    </row>
    <row r="144" spans="2:30 16384:16384" s="367" customFormat="1" ht="17" customHeight="1">
      <c r="N144" s="477"/>
      <c r="O144" s="477"/>
      <c r="V144" s="155"/>
      <c r="W144" s="155"/>
      <c r="X144" s="155"/>
      <c r="Y144" s="155"/>
      <c r="Z144" s="155"/>
      <c r="AA144" s="155"/>
      <c r="AB144" s="155"/>
      <c r="AC144" s="155"/>
      <c r="AD144" s="155"/>
      <c r="XFD144" s="776"/>
    </row>
    <row r="145" spans="14:30 16384:16384" s="367" customFormat="1" ht="17" customHeight="1">
      <c r="N145" s="477"/>
      <c r="O145" s="477"/>
      <c r="V145" s="155"/>
      <c r="W145" s="155"/>
      <c r="X145" s="155"/>
      <c r="Y145" s="155"/>
      <c r="Z145" s="155"/>
      <c r="AA145" s="155"/>
      <c r="AB145" s="155"/>
      <c r="AC145" s="155"/>
      <c r="AD145" s="155"/>
      <c r="XFD145" s="776"/>
    </row>
    <row r="146" spans="14:30 16384:16384" s="367" customFormat="1" ht="17" customHeight="1">
      <c r="N146" s="477"/>
      <c r="O146" s="477"/>
      <c r="V146" s="155"/>
      <c r="W146" s="155"/>
      <c r="X146" s="155"/>
      <c r="Y146" s="155"/>
      <c r="Z146" s="155"/>
      <c r="AA146" s="155"/>
      <c r="AB146" s="155"/>
      <c r="AC146" s="155"/>
      <c r="AD146" s="155"/>
      <c r="XFD146" s="776"/>
    </row>
    <row r="147" spans="14:30 16384:16384" s="367" customFormat="1" ht="17" customHeight="1">
      <c r="N147" s="477"/>
      <c r="O147" s="477"/>
      <c r="V147" s="155"/>
      <c r="W147" s="155"/>
      <c r="X147" s="155"/>
      <c r="Y147" s="155"/>
      <c r="Z147" s="155"/>
      <c r="AA147" s="155"/>
      <c r="AB147" s="155"/>
      <c r="AC147" s="155"/>
      <c r="AD147" s="155"/>
      <c r="XFD147" s="776"/>
    </row>
    <row r="148" spans="14:30 16384:16384" s="367" customFormat="1" ht="17" customHeight="1">
      <c r="N148" s="477"/>
      <c r="O148" s="477"/>
      <c r="V148" s="155"/>
      <c r="W148" s="155"/>
      <c r="X148" s="155"/>
      <c r="Y148" s="155"/>
      <c r="Z148" s="155"/>
      <c r="AA148" s="155"/>
      <c r="AB148" s="155"/>
      <c r="AC148" s="155"/>
      <c r="AD148" s="155"/>
      <c r="XFD148" s="776"/>
    </row>
    <row r="149" spans="14:30 16384:16384" s="367" customFormat="1" ht="17" customHeight="1">
      <c r="N149" s="477"/>
      <c r="O149" s="477"/>
      <c r="V149" s="155"/>
      <c r="W149" s="155"/>
      <c r="X149" s="155"/>
      <c r="Y149" s="155"/>
      <c r="Z149" s="155"/>
      <c r="AA149" s="155"/>
      <c r="AB149" s="155"/>
      <c r="AC149" s="155"/>
      <c r="AD149" s="155"/>
      <c r="XFD149" s="776"/>
    </row>
    <row r="150" spans="14:30 16384:16384" s="367" customFormat="1" ht="17" customHeight="1">
      <c r="N150" s="477"/>
      <c r="O150" s="477"/>
      <c r="V150" s="155"/>
      <c r="W150" s="155"/>
      <c r="X150" s="155"/>
      <c r="Y150" s="155"/>
      <c r="Z150" s="155"/>
      <c r="AA150" s="155"/>
      <c r="AB150" s="155"/>
      <c r="AC150" s="155"/>
      <c r="AD150" s="155"/>
      <c r="XFD150" s="776"/>
    </row>
    <row r="151" spans="14:30 16384:16384" s="367" customFormat="1" ht="17" customHeight="1">
      <c r="N151" s="477"/>
      <c r="O151" s="477"/>
      <c r="V151" s="155"/>
      <c r="W151" s="155"/>
      <c r="X151" s="155"/>
      <c r="Y151" s="155"/>
      <c r="Z151" s="155"/>
      <c r="AA151" s="155"/>
      <c r="AB151" s="155"/>
      <c r="AC151" s="155"/>
      <c r="AD151" s="155"/>
      <c r="XFD151" s="776"/>
    </row>
    <row r="152" spans="14:30 16384:16384" s="367" customFormat="1" ht="17" customHeight="1">
      <c r="N152" s="477"/>
      <c r="O152" s="477"/>
      <c r="V152" s="155"/>
      <c r="W152" s="155"/>
      <c r="X152" s="155"/>
      <c r="Y152" s="155"/>
      <c r="Z152" s="155"/>
      <c r="AA152" s="155"/>
      <c r="AB152" s="155"/>
      <c r="AC152" s="155"/>
      <c r="AD152" s="155"/>
      <c r="XFD152" s="776"/>
    </row>
    <row r="153" spans="14:30 16384:16384" s="367" customFormat="1" ht="17" customHeight="1">
      <c r="N153" s="477"/>
      <c r="O153" s="477"/>
      <c r="V153" s="155"/>
      <c r="W153" s="155"/>
      <c r="X153" s="155"/>
      <c r="Y153" s="155"/>
      <c r="Z153" s="155"/>
      <c r="AA153" s="155"/>
      <c r="AB153" s="155"/>
      <c r="AC153" s="155"/>
      <c r="AD153" s="155"/>
      <c r="XFD153" s="776"/>
    </row>
    <row r="154" spans="14:30 16384:16384" s="367" customFormat="1" ht="17" customHeight="1">
      <c r="N154" s="477"/>
      <c r="O154" s="477"/>
      <c r="V154" s="155"/>
      <c r="W154" s="155"/>
      <c r="X154" s="155"/>
      <c r="Y154" s="155"/>
      <c r="Z154" s="155"/>
      <c r="AA154" s="155"/>
      <c r="AB154" s="155"/>
      <c r="AC154" s="155"/>
      <c r="AD154" s="155"/>
      <c r="XFD154" s="776"/>
    </row>
    <row r="155" spans="14:30 16384:16384" s="367" customFormat="1" ht="17" customHeight="1">
      <c r="N155" s="477"/>
      <c r="O155" s="477"/>
      <c r="V155" s="155"/>
      <c r="W155" s="155"/>
      <c r="X155" s="155"/>
      <c r="Y155" s="155"/>
      <c r="Z155" s="155"/>
      <c r="AA155" s="155"/>
      <c r="AB155" s="155"/>
      <c r="AC155" s="155"/>
      <c r="AD155" s="155"/>
      <c r="XFD155" s="776"/>
    </row>
    <row r="156" spans="14:30 16384:16384" s="367" customFormat="1" ht="17" customHeight="1">
      <c r="N156" s="477"/>
      <c r="O156" s="477"/>
      <c r="V156" s="155"/>
      <c r="W156" s="155"/>
      <c r="X156" s="155"/>
      <c r="Y156" s="155"/>
      <c r="Z156" s="155"/>
      <c r="AA156" s="155"/>
      <c r="AB156" s="155"/>
      <c r="AC156" s="155"/>
      <c r="AD156" s="155"/>
      <c r="XFD156" s="776"/>
    </row>
    <row r="157" spans="14:30 16384:16384" s="367" customFormat="1" ht="17" customHeight="1">
      <c r="N157" s="477"/>
      <c r="O157" s="477"/>
      <c r="V157" s="155"/>
      <c r="W157" s="155"/>
      <c r="X157" s="155"/>
      <c r="Y157" s="155"/>
      <c r="Z157" s="155"/>
      <c r="AA157" s="155"/>
      <c r="AB157" s="155"/>
      <c r="AC157" s="155"/>
      <c r="AD157" s="155"/>
      <c r="XFD157" s="776"/>
    </row>
    <row r="158" spans="14:30 16384:16384" s="367" customFormat="1" ht="17" customHeight="1">
      <c r="N158" s="477"/>
      <c r="O158" s="477"/>
      <c r="V158" s="155"/>
      <c r="W158" s="155"/>
      <c r="X158" s="155"/>
      <c r="Y158" s="155"/>
      <c r="Z158" s="155"/>
      <c r="AA158" s="155"/>
      <c r="AB158" s="155"/>
      <c r="AC158" s="155"/>
      <c r="AD158" s="155"/>
      <c r="XFD158" s="776"/>
    </row>
    <row r="159" spans="14:30 16384:16384" s="367" customFormat="1" ht="17" customHeight="1">
      <c r="N159" s="477"/>
      <c r="O159" s="477"/>
      <c r="V159" s="155"/>
      <c r="W159" s="155"/>
      <c r="X159" s="155"/>
      <c r="Y159" s="155"/>
      <c r="Z159" s="155"/>
      <c r="AA159" s="155"/>
      <c r="AB159" s="155"/>
      <c r="AC159" s="155"/>
      <c r="AD159" s="155"/>
      <c r="XFD159" s="776"/>
    </row>
    <row r="160" spans="14:30 16384:16384" s="367" customFormat="1" ht="17" customHeight="1">
      <c r="N160" s="477"/>
      <c r="O160" s="477"/>
      <c r="V160" s="155"/>
      <c r="W160" s="155"/>
      <c r="X160" s="155"/>
      <c r="Y160" s="155"/>
      <c r="Z160" s="155"/>
      <c r="AA160" s="155"/>
      <c r="AB160" s="155"/>
      <c r="AC160" s="155"/>
      <c r="AD160" s="155"/>
      <c r="XFD160" s="776"/>
    </row>
  </sheetData>
  <sheetProtection sheet="1" objects="1" scenarios="1"/>
  <mergeCells count="87">
    <mergeCell ref="D126:E126"/>
    <mergeCell ref="D124:E124"/>
    <mergeCell ref="D125:E125"/>
    <mergeCell ref="D120:E120"/>
    <mergeCell ref="B121:C121"/>
    <mergeCell ref="D121:E121"/>
    <mergeCell ref="B125:C125"/>
    <mergeCell ref="B122:C122"/>
    <mergeCell ref="D122:E122"/>
    <mergeCell ref="B124:C124"/>
    <mergeCell ref="B120:C120"/>
    <mergeCell ref="J116:M116"/>
    <mergeCell ref="J117:L117"/>
    <mergeCell ref="K58:L58"/>
    <mergeCell ref="B56:C56"/>
    <mergeCell ref="K56:L56"/>
    <mergeCell ref="K57:L57"/>
    <mergeCell ref="K52:L52"/>
    <mergeCell ref="K115:L115"/>
    <mergeCell ref="K51:L51"/>
    <mergeCell ref="K53:L53"/>
    <mergeCell ref="K54:L54"/>
    <mergeCell ref="K55:L55"/>
    <mergeCell ref="B50:C50"/>
    <mergeCell ref="K50:L50"/>
    <mergeCell ref="C45:D45"/>
    <mergeCell ref="J48:M48"/>
    <mergeCell ref="B28:C28"/>
    <mergeCell ref="B29:C29"/>
    <mergeCell ref="H41:J42"/>
    <mergeCell ref="H43:J44"/>
    <mergeCell ref="I48:I49"/>
    <mergeCell ref="K49:L49"/>
    <mergeCell ref="K18:L18"/>
    <mergeCell ref="B18:C18"/>
    <mergeCell ref="B20:C20"/>
    <mergeCell ref="B21:C21"/>
    <mergeCell ref="B23:C23"/>
    <mergeCell ref="I19:N38"/>
    <mergeCell ref="B24:C24"/>
    <mergeCell ref="B19:C19"/>
    <mergeCell ref="B22:C22"/>
    <mergeCell ref="B25:C25"/>
    <mergeCell ref="B26:C26"/>
    <mergeCell ref="B27:C27"/>
    <mergeCell ref="B31:C31"/>
    <mergeCell ref="B32:C32"/>
    <mergeCell ref="R10:T10"/>
    <mergeCell ref="B11:E11"/>
    <mergeCell ref="R11:T11"/>
    <mergeCell ref="K17:L17"/>
    <mergeCell ref="B15:C15"/>
    <mergeCell ref="B16:C16"/>
    <mergeCell ref="B17:C17"/>
    <mergeCell ref="B12:E12"/>
    <mergeCell ref="K15:L15"/>
    <mergeCell ref="K16:L16"/>
    <mergeCell ref="R12:T12"/>
    <mergeCell ref="R13:T13"/>
    <mergeCell ref="K14:L14"/>
    <mergeCell ref="R14:T14"/>
    <mergeCell ref="H14:J14"/>
    <mergeCell ref="K6:L6"/>
    <mergeCell ref="K7:L7"/>
    <mergeCell ref="K8:L8"/>
    <mergeCell ref="B2:B3"/>
    <mergeCell ref="C2:E3"/>
    <mergeCell ref="K2:L2"/>
    <mergeCell ref="K3:L3"/>
    <mergeCell ref="K4:L4"/>
    <mergeCell ref="F2:I2"/>
    <mergeCell ref="B130:C130"/>
    <mergeCell ref="G41:G42"/>
    <mergeCell ref="G43:G44"/>
    <mergeCell ref="B33:C33"/>
    <mergeCell ref="B34:C34"/>
    <mergeCell ref="B35:C35"/>
    <mergeCell ref="B119:G119"/>
    <mergeCell ref="B123:C123"/>
    <mergeCell ref="D123:E123"/>
    <mergeCell ref="B58:C58"/>
    <mergeCell ref="B51:C51"/>
    <mergeCell ref="B48:C48"/>
    <mergeCell ref="B57:C57"/>
    <mergeCell ref="B49:C49"/>
    <mergeCell ref="B52:C52"/>
    <mergeCell ref="B126:C126"/>
  </mergeCells>
  <conditionalFormatting sqref="E15:E35">
    <cfRule type="expression" dxfId="78" priority="2">
      <formula>E15&gt;F15</formula>
    </cfRule>
  </conditionalFormatting>
  <conditionalFormatting sqref="G15:G37">
    <cfRule type="cellIs" dxfId="77" priority="1" operator="equal">
      <formula>0</formula>
    </cfRule>
  </conditionalFormatting>
  <conditionalFormatting sqref="F3:I8">
    <cfRule type="expression" dxfId="76" priority="34">
      <formula>AND($H3&lt;$I3,$H3&gt;$G3)</formula>
    </cfRule>
  </conditionalFormatting>
  <dataValidations count="3">
    <dataValidation allowBlank="1" prompt="_x000a_" sqref="B50:B114 H52:H56" xr:uid="{B915F21F-D40D-9D49-9E3D-3FC1F33680EB}"/>
    <dataValidation type="list" allowBlank="1" showInputMessage="1" showErrorMessage="1" sqref="I15:I16" xr:uid="{E2393430-5CD7-434C-92ED-A33D8CC97A41}">
      <formula1>"kg.,lbs.,oz."</formula1>
    </dataValidation>
    <dataValidation type="list" allowBlank="1" showInputMessage="1" showErrorMessage="1" sqref="B121:C126" xr:uid="{370F29D6-F6BF-2444-B1F0-5E01A3F51CA9}">
      <formula1>"Primaire,Secondaire,Ajout"</formula1>
    </dataValidation>
  </dataValidations>
  <hyperlinks>
    <hyperlink ref="J2" r:id="rId1" xr:uid="{0FFA4827-AD7D-9D4D-9E5D-2D0B985F333B}"/>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77A8AAD7-0DE3-6948-991D-772266FA622D}">
          <x14:formula1>
            <xm:f>Styles!$A$3:$A$102</xm:f>
          </x14:formula1>
          <xm:sqref>F2</xm:sqref>
        </x14:dataValidation>
        <x14:dataValidation type="list" allowBlank="1" showInputMessage="1" showErrorMessage="1" xr:uid="{80129083-EBFA-FB4D-9B3D-0081D0744B31}">
          <x14:formula1>
            <xm:f>'BDD Malt Beersmith'!$A$64:$A$79</xm:f>
          </x14:formula1>
          <xm:sqref>B31:B35</xm:sqref>
        </x14:dataValidation>
        <x14:dataValidation type="list" allowBlank="1" showInputMessage="1" showErrorMessage="1" xr:uid="{818333BD-997B-A44E-93F6-993A6E2075E1}">
          <x14:formula1>
            <xm:f>'BDD Malt Beersmith'!$A$2:$A$63</xm:f>
          </x14:formula1>
          <xm:sqref>B15:B29</xm:sqref>
        </x14:dataValidation>
        <x14:dataValidation type="list" allowBlank="1" showInputMessage="1" showErrorMessage="1" xr:uid="{B61C2A62-5243-6F4A-85C9-AD091CD6B696}">
          <x14:formula1>
            <xm:f>BDD!$D$34:$D$41</xm:f>
          </x14:formula1>
          <xm:sqref>B130:C130</xm:sqref>
        </x14:dataValidation>
        <x14:dataValidation type="list" allowBlank="1" showInputMessage="1" showErrorMessage="1" xr:uid="{32D989E4-2B36-0E47-ACE8-01B8E91C07F2}">
          <x14:formula1>
            <xm:f>BDD!$A$2:$A$31</xm:f>
          </x14:formula1>
          <xm:sqref>B12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02DA2-779A-5D40-B72D-DD19156E73A3}">
  <sheetPr codeName="Feuil1"/>
  <dimension ref="A1:AL191"/>
  <sheetViews>
    <sheetView tabSelected="1" zoomScaleNormal="100" workbookViewId="0">
      <selection activeCell="G7" sqref="G7"/>
    </sheetView>
  </sheetViews>
  <sheetFormatPr baseColWidth="10" defaultColWidth="0" defaultRowHeight="0" customHeight="1" zeroHeight="1"/>
  <cols>
    <col min="1" max="1" width="10.83203125" style="444" customWidth="1"/>
    <col min="2" max="2" width="13" style="155" customWidth="1"/>
    <col min="3" max="9" width="13.33203125" style="155" customWidth="1"/>
    <col min="10" max="10" width="14.1640625" style="155" bestFit="1" customWidth="1"/>
    <col min="11" max="12" width="6.6640625" style="155" customWidth="1"/>
    <col min="13" max="13" width="13.33203125" style="155" customWidth="1"/>
    <col min="14" max="14" width="8.1640625" style="155" customWidth="1"/>
    <col min="15" max="19" width="10.83203125" style="155" hidden="1" customWidth="1"/>
    <col min="20" max="20" width="13.5" style="155" hidden="1" customWidth="1"/>
    <col min="21" max="21" width="7.33203125" style="155" hidden="1" customWidth="1"/>
    <col min="22" max="22" width="4.33203125" style="155" customWidth="1"/>
    <col min="23" max="23" width="9" style="155" hidden="1" customWidth="1"/>
    <col min="24" max="24" width="16.5" style="155" customWidth="1"/>
    <col min="25" max="27" width="14.33203125" style="155" customWidth="1"/>
    <col min="28" max="28" width="18.6640625" style="444" customWidth="1"/>
    <col min="29" max="29" width="10" style="444" customWidth="1"/>
    <col min="30" max="30" width="10" style="155" hidden="1" customWidth="1"/>
    <col min="31" max="31" width="11" style="155" hidden="1" customWidth="1"/>
    <col min="32" max="32" width="10" style="155" hidden="1" customWidth="1"/>
    <col min="33" max="33" width="12" style="155" hidden="1" customWidth="1"/>
    <col min="34" max="36" width="10" style="155" hidden="1" customWidth="1"/>
    <col min="37" max="16384" width="10.83203125" style="155" hidden="1"/>
  </cols>
  <sheetData>
    <row r="1" spans="2:35" s="444" customFormat="1" ht="17" customHeight="1" thickBot="1"/>
    <row r="2" spans="2:35" ht="17" customHeight="1">
      <c r="B2" s="821" t="s">
        <v>146</v>
      </c>
      <c r="C2" s="1025" t="str">
        <f>Recette!C2</f>
        <v>Virgin Tropical Serendipity</v>
      </c>
      <c r="D2" s="1025"/>
      <c r="E2" s="1026"/>
      <c r="F2" s="1007" t="s">
        <v>2956</v>
      </c>
      <c r="G2" s="1008"/>
      <c r="H2" s="1009"/>
      <c r="I2" s="444"/>
      <c r="J2" s="154" t="s">
        <v>31</v>
      </c>
      <c r="K2" s="985">
        <v>12</v>
      </c>
      <c r="L2" s="986"/>
      <c r="M2" s="444"/>
      <c r="O2" s="444"/>
      <c r="P2" s="444"/>
      <c r="Q2" s="444"/>
      <c r="R2" s="444"/>
      <c r="S2" s="444"/>
      <c r="T2" s="444"/>
      <c r="U2" s="444"/>
      <c r="V2" s="444"/>
      <c r="W2" s="444"/>
      <c r="X2" s="444"/>
      <c r="Y2" s="444"/>
      <c r="Z2" s="444"/>
      <c r="AA2" s="444"/>
    </row>
    <row r="3" spans="2:35" ht="17" customHeight="1" thickBot="1">
      <c r="B3" s="822"/>
      <c r="C3" s="1027"/>
      <c r="D3" s="1027"/>
      <c r="E3" s="1028"/>
      <c r="F3" s="1010"/>
      <c r="G3" s="1011"/>
      <c r="H3" s="1012"/>
      <c r="I3" s="444"/>
      <c r="J3" s="156" t="s">
        <v>189</v>
      </c>
      <c r="K3" s="1020">
        <v>20</v>
      </c>
      <c r="L3" s="1021"/>
      <c r="M3" s="444"/>
      <c r="N3" s="444"/>
      <c r="O3" s="444"/>
      <c r="P3" s="444"/>
      <c r="Q3" s="444"/>
      <c r="R3" s="444"/>
      <c r="S3" s="444"/>
      <c r="T3" s="444"/>
      <c r="U3" s="444"/>
      <c r="V3" s="444"/>
      <c r="W3" s="444"/>
      <c r="X3" s="444"/>
      <c r="Y3" s="444"/>
      <c r="Z3" s="444"/>
      <c r="AA3" s="444"/>
    </row>
    <row r="4" spans="2:35" ht="17" customHeight="1" thickBot="1">
      <c r="B4" s="583">
        <f>(((((ROUND(1+(C8/(258.6-(0.88*C8))),3))-(ROUND(1+(J8/(258.6-(0.88*J8))),3)))*1.05/(ROUND(1+(J8/(258.6-(0.88*J8))),3))))/0.789)+((G152*0.0634)/100)+SUM(AD82:AD89)</f>
        <v>2.8995733823130004E-2</v>
      </c>
      <c r="C4" s="157">
        <f>ROUND(SUM(J82:M90),1)</f>
        <v>54.9</v>
      </c>
      <c r="D4" s="584">
        <f>AH43</f>
        <v>33.157666666666664</v>
      </c>
      <c r="E4" s="631" t="s">
        <v>2899</v>
      </c>
      <c r="F4" s="1013"/>
      <c r="G4" s="1014"/>
      <c r="H4" s="1015"/>
      <c r="I4" s="444"/>
      <c r="J4" s="158" t="s">
        <v>2</v>
      </c>
      <c r="K4" s="1022">
        <v>0.8</v>
      </c>
      <c r="L4" s="1023"/>
      <c r="M4" s="444"/>
      <c r="N4" s="444"/>
      <c r="O4" s="444"/>
      <c r="P4" s="444"/>
      <c r="Q4" s="444"/>
      <c r="R4" s="444"/>
      <c r="S4" s="444"/>
      <c r="T4" s="444"/>
      <c r="U4" s="444"/>
      <c r="V4" s="444"/>
      <c r="W4" s="444"/>
      <c r="X4" s="1002" t="s">
        <v>517</v>
      </c>
      <c r="Y4" s="1003"/>
      <c r="Z4" s="1003"/>
      <c r="AA4" s="1004"/>
    </row>
    <row r="5" spans="2:35" ht="17" customHeight="1" thickBot="1">
      <c r="B5" s="444"/>
      <c r="C5" s="444"/>
      <c r="D5" s="444"/>
      <c r="E5" s="444"/>
      <c r="F5" s="444"/>
      <c r="G5" s="444"/>
      <c r="H5" s="444"/>
      <c r="I5" s="444"/>
      <c r="J5" s="444"/>
      <c r="K5" s="444"/>
      <c r="L5" s="444"/>
      <c r="M5" s="444"/>
      <c r="N5" s="444"/>
      <c r="O5" s="444"/>
      <c r="P5" s="444"/>
      <c r="Q5" s="444"/>
      <c r="R5" s="444"/>
      <c r="S5" s="444"/>
      <c r="T5" s="444"/>
      <c r="U5" s="444"/>
      <c r="V5" s="444"/>
      <c r="W5" s="444"/>
      <c r="X5" s="449" t="s">
        <v>1073</v>
      </c>
      <c r="Y5" s="540">
        <f>VLOOKUP($X$4,Table2[],13,0)</f>
        <v>1.056</v>
      </c>
      <c r="Z5" s="159">
        <f>ROUND(AD21/1000,3)</f>
        <v>1.036</v>
      </c>
      <c r="AA5" s="544">
        <f>VLOOKUP($X$4,Table2[],14,0)</f>
        <v>1.07</v>
      </c>
      <c r="AD5" s="155">
        <f t="shared" ref="AD5:AF6" si="0">258.6*(Y5-1)/(0.12+(0.88*Y5))</f>
        <v>13.801463860933225</v>
      </c>
      <c r="AE5" s="155">
        <f t="shared" si="0"/>
        <v>9.0237282878411982</v>
      </c>
      <c r="AF5" s="155">
        <f t="shared" si="0"/>
        <v>17.051620195930685</v>
      </c>
    </row>
    <row r="6" spans="2:35" ht="17" customHeight="1" thickBot="1">
      <c r="B6" s="161"/>
      <c r="C6" s="453" t="s">
        <v>32</v>
      </c>
      <c r="D6" s="453" t="s">
        <v>35</v>
      </c>
      <c r="E6" s="453" t="s">
        <v>33</v>
      </c>
      <c r="F6" s="453" t="s">
        <v>36</v>
      </c>
      <c r="G6" s="453" t="s">
        <v>1179</v>
      </c>
      <c r="H6" s="453" t="s">
        <v>1173</v>
      </c>
      <c r="I6" s="453" t="s">
        <v>385</v>
      </c>
      <c r="J6" s="454" t="s">
        <v>34</v>
      </c>
      <c r="K6" s="818"/>
      <c r="L6" s="818"/>
      <c r="M6" s="444"/>
      <c r="N6" s="444"/>
      <c r="O6" s="444"/>
      <c r="P6" s="444"/>
      <c r="Q6" s="444"/>
      <c r="R6" s="444"/>
      <c r="S6" s="444"/>
      <c r="T6" s="444"/>
      <c r="U6" s="444"/>
      <c r="V6" s="444"/>
      <c r="W6" s="444"/>
      <c r="X6" s="449" t="s">
        <v>1074</v>
      </c>
      <c r="Y6" s="540">
        <f>VLOOKUP($X$4,Table2[],15,0)</f>
        <v>1.008</v>
      </c>
      <c r="Z6" s="159">
        <f>AD27/1000</f>
        <v>1.016874921511993</v>
      </c>
      <c r="AA6" s="545">
        <f>VLOOKUP($X$4,Table2[],16,0)</f>
        <v>1.014</v>
      </c>
      <c r="AD6" s="155">
        <f t="shared" si="0"/>
        <v>2.0543374642516707</v>
      </c>
      <c r="AE6" s="155">
        <f t="shared" si="0"/>
        <v>4.300000000000006</v>
      </c>
      <c r="AF6" s="155">
        <f t="shared" si="0"/>
        <v>3.5763394973921327</v>
      </c>
      <c r="AG6" s="320"/>
      <c r="AH6" s="320"/>
      <c r="AI6" s="320"/>
    </row>
    <row r="7" spans="2:35" ht="17" customHeight="1">
      <c r="B7" s="538" t="s">
        <v>37</v>
      </c>
      <c r="C7" s="7">
        <v>43975</v>
      </c>
      <c r="D7" s="162">
        <f>IF(E7="",IF(J7="","",J7-C7),IF(E7="",J7-C7,E7-C7))</f>
        <v>13</v>
      </c>
      <c r="E7" s="7"/>
      <c r="F7" s="162" t="str">
        <f>IF(J7="","",IF(E7="","",J7-E7))</f>
        <v/>
      </c>
      <c r="G7" s="7"/>
      <c r="H7" s="7"/>
      <c r="I7" s="7"/>
      <c r="J7" s="521">
        <v>43988</v>
      </c>
      <c r="K7" s="1030" t="s">
        <v>2891</v>
      </c>
      <c r="L7" s="1031"/>
      <c r="M7" s="444"/>
      <c r="N7" s="444"/>
      <c r="O7" s="444"/>
      <c r="P7" s="444"/>
      <c r="Q7" s="444"/>
      <c r="R7" s="444"/>
      <c r="S7" s="444"/>
      <c r="T7" s="444"/>
      <c r="U7" s="444"/>
      <c r="V7" s="444"/>
      <c r="W7" s="444"/>
      <c r="X7" s="449" t="s">
        <v>1075</v>
      </c>
      <c r="Y7" s="541">
        <f>VLOOKUP($X$4,Table2[],11,0)/100</f>
        <v>5.5E-2</v>
      </c>
      <c r="Z7" s="163">
        <f>IF(C8="",K44,B4)</f>
        <v>2.8995733823130004E-2</v>
      </c>
      <c r="AA7" s="546">
        <f>VLOOKUP($X$4,Table2[],12,0)/100</f>
        <v>7.4999999999999997E-2</v>
      </c>
      <c r="AE7" s="327"/>
      <c r="AF7" s="327"/>
      <c r="AG7" s="320"/>
      <c r="AH7" s="320"/>
      <c r="AI7" s="320"/>
    </row>
    <row r="8" spans="2:35" ht="17" customHeight="1" thickBot="1">
      <c r="B8" s="538" t="s">
        <v>2888</v>
      </c>
      <c r="C8" s="522">
        <v>9.1</v>
      </c>
      <c r="D8" s="595">
        <v>24</v>
      </c>
      <c r="E8" s="523"/>
      <c r="F8" s="595"/>
      <c r="G8" s="523"/>
      <c r="H8" s="523"/>
      <c r="I8" s="522"/>
      <c r="J8" s="524">
        <v>4.3</v>
      </c>
      <c r="K8" s="1032">
        <f>((C8-J8)/C8)</f>
        <v>0.52747252747252749</v>
      </c>
      <c r="L8" s="1033"/>
      <c r="M8" s="444"/>
      <c r="N8" s="444"/>
      <c r="O8" s="444"/>
      <c r="P8" s="444"/>
      <c r="Q8" s="444"/>
      <c r="R8" s="444"/>
      <c r="S8" s="444"/>
      <c r="T8" s="444"/>
      <c r="U8" s="444"/>
      <c r="V8" s="444"/>
      <c r="W8" s="444"/>
      <c r="X8" s="449" t="s">
        <v>25</v>
      </c>
      <c r="Y8" s="542">
        <f>VLOOKUP($X$4,Table2[],17,0)</f>
        <v>40</v>
      </c>
      <c r="Z8" s="164">
        <f>C4</f>
        <v>54.9</v>
      </c>
      <c r="AA8" s="545">
        <f>VLOOKUP($X$4,Table2[],18,0)</f>
        <v>70</v>
      </c>
      <c r="AE8" s="327"/>
      <c r="AG8" s="320"/>
      <c r="AH8" s="320"/>
      <c r="AI8" s="320"/>
    </row>
    <row r="9" spans="2:35" ht="17" customHeight="1" thickBot="1">
      <c r="B9" s="539" t="s">
        <v>1196</v>
      </c>
      <c r="C9" s="502">
        <f>IF(E11="","",258.6*((E11/1000)-1)/(0.12+(0.88*(E11/1000))))</f>
        <v>9.2396075358228913</v>
      </c>
      <c r="D9" s="506" t="s">
        <v>1174</v>
      </c>
      <c r="E9" s="505">
        <f>C8</f>
        <v>9.1</v>
      </c>
      <c r="F9" s="507" t="s">
        <v>2887</v>
      </c>
      <c r="G9" s="520">
        <v>6</v>
      </c>
      <c r="H9" s="504">
        <f>MROUND(258.6*(((1.001843-(0.002318474*E9)-(0.000007775*E9^2)-(0.000000034*E9^3)+(0.00574*G9)+(0.00003344*G9^2)+(0.000000086*G9^3))*1000/1000)-1)/(0.12+(0.88*((1.001843-(0.002318474*E9)-(0.000007775*E9^2)-(0.000000034*E9^3)+(0.00574*G9)+(0.00003344*G9^2)+(0.000000086*G9^3))*1000/1000))),0.5)</f>
        <v>4</v>
      </c>
      <c r="I9" s="503" t="s">
        <v>2928</v>
      </c>
      <c r="J9" s="502">
        <f>IF(C8="",C9*(1-I18),C8*(1-I18))</f>
        <v>7.7349999999999994</v>
      </c>
      <c r="K9" s="905">
        <f>((C9-J9)/C9)</f>
        <v>0.16284323008194629</v>
      </c>
      <c r="L9" s="906"/>
      <c r="M9" s="421"/>
      <c r="N9" s="444"/>
      <c r="O9" s="444"/>
      <c r="P9" s="444"/>
      <c r="Q9" s="444"/>
      <c r="R9" s="444"/>
      <c r="S9" s="444"/>
      <c r="T9" s="444"/>
      <c r="U9" s="444"/>
      <c r="V9" s="444"/>
      <c r="W9" s="444"/>
      <c r="X9" s="449" t="s">
        <v>3</v>
      </c>
      <c r="Y9" s="542">
        <f>VLOOKUP($X$4,Table2[],9,0)</f>
        <v>12</v>
      </c>
      <c r="Z9" s="165">
        <f>D4</f>
        <v>33.157666666666664</v>
      </c>
      <c r="AA9" s="545">
        <f>VLOOKUP($X$4,Table2[],10,0)</f>
        <v>24</v>
      </c>
      <c r="AE9" s="327"/>
      <c r="AG9" s="320"/>
      <c r="AH9" s="320"/>
      <c r="AI9" s="320"/>
    </row>
    <row r="10" spans="2:35" ht="17" customHeight="1" thickBot="1">
      <c r="B10" s="444"/>
      <c r="C10" s="444"/>
      <c r="D10" s="444"/>
      <c r="E10" s="444"/>
      <c r="F10" s="444"/>
      <c r="G10" s="444"/>
      <c r="H10" s="444"/>
      <c r="I10" s="444"/>
      <c r="J10" s="444"/>
      <c r="K10" s="444"/>
      <c r="L10" s="444"/>
      <c r="M10" s="444"/>
      <c r="N10" s="444"/>
      <c r="O10" s="444"/>
      <c r="P10" s="444"/>
      <c r="Q10" s="444"/>
      <c r="R10" s="444"/>
      <c r="S10" s="444"/>
      <c r="T10" s="444"/>
      <c r="U10" s="444"/>
      <c r="V10" s="444"/>
      <c r="W10" s="444"/>
      <c r="X10" s="449" t="s">
        <v>2892</v>
      </c>
      <c r="Y10" s="543">
        <f>VLOOKUP($X$4,Table2[],25,0)*0.9</f>
        <v>0.78300000000000003</v>
      </c>
      <c r="Z10" s="487">
        <f>ROUND(SUM(J82:M90)/(AD21-1000),2)</f>
        <v>1.52</v>
      </c>
      <c r="AA10" s="547">
        <f>VLOOKUP($X$4,Table2[],25,0)*1.1</f>
        <v>0.95700000000000007</v>
      </c>
    </row>
    <row r="11" spans="2:35" ht="17" customHeight="1">
      <c r="B11" s="997" t="s">
        <v>1189</v>
      </c>
      <c r="C11" s="998"/>
      <c r="D11" s="342">
        <f>IF(E11="","",258.6*((E11/1000)-1)/(0.12+(0.88*(E11/1000))))</f>
        <v>9.2396075358228913</v>
      </c>
      <c r="E11" s="347">
        <f>IF(Recette!C4="","",Recette!C4)</f>
        <v>1036.8892045454545</v>
      </c>
      <c r="F11" s="350">
        <f>IF(E11="","",100%)</f>
        <v>1</v>
      </c>
      <c r="G11" s="351">
        <f>IF(E11="","",(((((ROUND(1+(D11/(258.6-(0.88*D11))),3))-(ROUND(1+((D11-(D11*$I$18))/(258.6-(0.88*(D11-(D11*$I$18))))),3)))*1.05/(ROUND(1+((D11-(D11*$I$18))/(258.6-(0.88*(D11-(D11*$I$18))))),3))))/0.789))+G153+AB88</f>
        <v>1.1877930383206527E-2</v>
      </c>
      <c r="H11" s="444"/>
      <c r="I11" s="973" t="s">
        <v>384</v>
      </c>
      <c r="J11" s="974"/>
      <c r="K11" s="985">
        <v>19</v>
      </c>
      <c r="L11" s="986"/>
      <c r="M11" s="444"/>
      <c r="N11" s="444"/>
      <c r="O11" s="444"/>
      <c r="P11" s="444"/>
      <c r="Q11" s="444"/>
      <c r="R11" s="444"/>
      <c r="S11" s="444"/>
      <c r="T11" s="444"/>
      <c r="U11" s="444"/>
      <c r="V11" s="444"/>
      <c r="W11" s="444"/>
      <c r="X11" s="417" t="s">
        <v>2893</v>
      </c>
      <c r="Y11" s="543">
        <f>Y8/((0.1808*AD5)+(0.8192*AD6))</f>
        <v>9.5734594979923973</v>
      </c>
      <c r="Z11" s="487">
        <f t="shared" ref="Z11:AA11" si="1">Z8/((0.1808*AE5)+(0.8192*AE6))</f>
        <v>10.651817348892749</v>
      </c>
      <c r="AA11" s="547">
        <f t="shared" si="1"/>
        <v>11.642081989598154</v>
      </c>
    </row>
    <row r="12" spans="2:35" ht="17" customHeight="1" thickBot="1">
      <c r="B12" s="949" t="str">
        <f>"OG estimée à "&amp;(K4*100)&amp;"%"</f>
        <v>OG estimée à 80%</v>
      </c>
      <c r="C12" s="950"/>
      <c r="D12" s="345">
        <f>258.6*((E12/1000)-1)/(0.12+(0.88*(E12/1000)))</f>
        <v>9.0817078877621782</v>
      </c>
      <c r="E12" s="348">
        <f>K77</f>
        <v>1036.238685</v>
      </c>
      <c r="F12" s="346">
        <f>(E12-1000)/(E11-1000)</f>
        <v>0.98236558490566239</v>
      </c>
      <c r="G12" s="352">
        <f>(((((ROUND(1+(D12/(258.6-(0.88*D12))),3))-(ROUND(1+((D12-(D12*$I$18))/(258.6-(0.88*(D12-(D12*$I$18))))),3)))*1.05/(ROUND(1+((D12-(D12*$I$18))/(258.6-(0.88*(D12-(D12*$I$18))))),3))))/0.789)+G153+AB88</f>
        <v>1.0587146213383729E-2</v>
      </c>
      <c r="H12" s="444"/>
      <c r="I12" s="437">
        <v>0.45</v>
      </c>
      <c r="J12" s="486" t="s">
        <v>382</v>
      </c>
      <c r="K12" s="167">
        <f>IF(O17&gt;200,O17/1000,O17)</f>
        <v>0.28421052631578947</v>
      </c>
      <c r="L12" s="168" t="str">
        <f>IF(O17&gt;200,"kg.","g.")</f>
        <v>g.</v>
      </c>
      <c r="M12" s="444"/>
      <c r="N12" s="444"/>
      <c r="O12" s="444"/>
      <c r="P12" s="444"/>
      <c r="Q12" s="444"/>
      <c r="R12" s="444"/>
      <c r="S12" s="444"/>
      <c r="T12" s="444"/>
      <c r="U12" s="444"/>
      <c r="V12" s="444"/>
      <c r="W12" s="444"/>
      <c r="X12" s="445" t="s">
        <v>1197</v>
      </c>
      <c r="Y12" s="548">
        <f>(AD5-AD6)/AD5</f>
        <v>0.85115075582187116</v>
      </c>
      <c r="Z12" s="549">
        <f>(AE5-AE6)/AE5</f>
        <v>0.52347855976626245</v>
      </c>
      <c r="AA12" s="550">
        <f t="shared" ref="AA12" si="2">(AF5-AF6)/AF5</f>
        <v>0.79026394815868495</v>
      </c>
      <c r="AE12" s="334"/>
      <c r="AF12" s="335"/>
      <c r="AG12" s="336"/>
    </row>
    <row r="13" spans="2:35" ht="17" customHeight="1">
      <c r="B13" s="949" t="s">
        <v>1162</v>
      </c>
      <c r="C13" s="950"/>
      <c r="D13" s="343">
        <f>(((((F76/1000)*E76*E77)/J43))*J43)/(K2*(F76/1000))</f>
        <v>10.0375</v>
      </c>
      <c r="E13" s="348">
        <f>(1+(D13/(258.6-(0.88*D13))))*1000</f>
        <v>1040.1874547077875</v>
      </c>
      <c r="F13" s="346">
        <f>(E13-1000)/(E11-1000)</f>
        <v>1.0894096308926631</v>
      </c>
      <c r="G13" s="352">
        <f>(((((ROUND(1+(D13/(258.6-(0.88*D13))),3))-(ROUND(1+((D13-(D13*$I$18))/(258.6-(0.88*(D13-(D13*$I$18))))),3)))*1.05/(ROUND(1+((D13-(D13*$I$18))/(258.6-(0.88*(D13-(D13*$I$18))))),3))))/0.789)+G153+AB88</f>
        <v>1.1855460252590655E-2</v>
      </c>
      <c r="H13" s="444"/>
      <c r="I13" s="437">
        <v>1</v>
      </c>
      <c r="J13" s="486" t="s">
        <v>1167</v>
      </c>
      <c r="K13" s="167">
        <f>IF(O18&gt;200,O18/1000,O18)</f>
        <v>17.904947368421052</v>
      </c>
      <c r="L13" s="160" t="str">
        <f>IF(O18&gt;200,"kg.","g.")</f>
        <v>g.</v>
      </c>
      <c r="M13" s="444"/>
      <c r="N13" s="444"/>
      <c r="O13" s="444"/>
      <c r="P13" s="444"/>
      <c r="Q13" s="444"/>
      <c r="R13" s="444"/>
      <c r="S13" s="444"/>
      <c r="T13" s="444"/>
      <c r="U13" s="444"/>
      <c r="V13" s="444"/>
      <c r="W13" s="444"/>
      <c r="X13" s="444"/>
      <c r="Y13" s="444"/>
      <c r="Z13" s="444"/>
      <c r="AA13" s="444"/>
      <c r="AE13" s="334"/>
      <c r="AF13" s="335"/>
      <c r="AG13" s="336"/>
    </row>
    <row r="14" spans="2:35" ht="17" customHeight="1" thickBot="1">
      <c r="B14" s="951" t="s">
        <v>2904</v>
      </c>
      <c r="C14" s="952"/>
      <c r="D14" s="344">
        <f>C8</f>
        <v>9.1</v>
      </c>
      <c r="E14" s="349">
        <f>ROUND(1+(D14/(258.6-(0.88*D14))),3)*1000</f>
        <v>1036</v>
      </c>
      <c r="F14" s="353">
        <f>(E14-1000)/(E11-1000)</f>
        <v>0.97589526376588476</v>
      </c>
      <c r="G14" s="354">
        <f>(((((ROUND(1+(D14/(258.6-(0.88*D14))),3))-(ROUND(1+((D14-(D14*$I$18))/(258.6-(0.88*(D14-(D14*$I$18))))),3)))*1.05/(ROUND(1+((D14-(D14*$I$18))/(258.6-(0.88*(D14-(D14*$I$18))))),3))))/0.789)+AB88+G153</f>
        <v>1.0587146213383729E-2</v>
      </c>
      <c r="H14" s="444"/>
      <c r="I14" s="120">
        <v>158</v>
      </c>
      <c r="J14" s="170">
        <f>(I14-32)*5/9</f>
        <v>70</v>
      </c>
      <c r="K14" s="171">
        <f>(O18+O17)/1000</f>
        <v>1.8189157894736841E-2</v>
      </c>
      <c r="L14" s="172" t="s">
        <v>382</v>
      </c>
      <c r="M14" s="444"/>
      <c r="N14" s="444"/>
      <c r="O14" s="444"/>
      <c r="P14" s="444"/>
      <c r="Q14" s="444"/>
      <c r="R14" s="444"/>
      <c r="S14" s="444"/>
      <c r="T14" s="444"/>
      <c r="U14" s="444"/>
      <c r="V14" s="444"/>
      <c r="W14" s="444"/>
      <c r="X14" s="444"/>
      <c r="Y14" s="444"/>
      <c r="Z14" s="444"/>
      <c r="AA14" s="444"/>
    </row>
    <row r="15" spans="2:35" ht="17" customHeight="1" thickBot="1">
      <c r="B15" s="444"/>
      <c r="C15" s="444"/>
      <c r="D15" s="444"/>
      <c r="E15" s="444"/>
      <c r="F15" s="444"/>
      <c r="G15" s="224"/>
      <c r="H15" s="444"/>
      <c r="I15" s="173"/>
      <c r="J15" s="174"/>
      <c r="K15" s="175"/>
      <c r="L15" s="441"/>
      <c r="M15" s="444"/>
      <c r="N15" s="444"/>
      <c r="O15" s="444"/>
      <c r="P15" s="444"/>
      <c r="Q15" s="444"/>
      <c r="R15" s="444"/>
      <c r="S15" s="444"/>
      <c r="T15" s="444"/>
      <c r="U15" s="444"/>
      <c r="V15" s="444"/>
      <c r="W15" s="444"/>
      <c r="X15" s="444"/>
      <c r="Y15" s="444"/>
      <c r="Z15" s="444"/>
      <c r="AA15" s="444"/>
    </row>
    <row r="16" spans="2:35" ht="27" thickBot="1">
      <c r="B16" s="176" t="s">
        <v>19</v>
      </c>
      <c r="C16" s="444"/>
      <c r="D16" s="444"/>
      <c r="E16" s="444"/>
      <c r="F16" s="444"/>
      <c r="G16" s="444"/>
      <c r="H16" s="444"/>
      <c r="I16" s="444"/>
      <c r="J16" s="444"/>
      <c r="K16" s="444"/>
      <c r="L16" s="444"/>
      <c r="M16" s="444"/>
      <c r="N16" s="177"/>
      <c r="O16" s="178"/>
      <c r="P16" s="178"/>
      <c r="Q16" s="178"/>
      <c r="R16" s="178"/>
      <c r="S16" s="178"/>
      <c r="T16" s="178"/>
      <c r="U16" s="179"/>
      <c r="V16" s="180"/>
      <c r="W16" s="181"/>
      <c r="X16" s="178"/>
      <c r="Y16" s="462"/>
      <c r="Z16" s="1034"/>
      <c r="AA16" s="1034"/>
      <c r="AB16" s="1035"/>
    </row>
    <row r="17" spans="2:38" ht="17" customHeight="1">
      <c r="B17" s="834" t="s">
        <v>39</v>
      </c>
      <c r="C17" s="835"/>
      <c r="D17" s="835"/>
      <c r="E17" s="836"/>
      <c r="F17" s="453" t="s">
        <v>50</v>
      </c>
      <c r="G17" s="453" t="s">
        <v>310</v>
      </c>
      <c r="H17" s="453" t="s">
        <v>190</v>
      </c>
      <c r="I17" s="453" t="s">
        <v>40</v>
      </c>
      <c r="J17" s="454" t="s">
        <v>49</v>
      </c>
      <c r="K17" s="444"/>
      <c r="L17" s="444"/>
      <c r="M17" s="444"/>
      <c r="N17" s="182"/>
      <c r="O17" s="441">
        <f>IF(J12="lbs.",I12*0.453592*1000,IF(J12="oz.",I12*28.3495,I12))/K$11*K$2</f>
        <v>0.28421052631578947</v>
      </c>
      <c r="P17" s="441" t="s">
        <v>383</v>
      </c>
      <c r="Q17" s="441"/>
      <c r="R17" s="441"/>
      <c r="S17" s="441"/>
      <c r="T17" s="441"/>
      <c r="U17" s="441"/>
      <c r="V17" s="183" t="str">
        <f>IF(AND($AH$43&lt;W17,$AH$43&gt;0),"–","")</f>
        <v/>
      </c>
      <c r="W17" s="184">
        <f>0+(80/30)</f>
        <v>2.6666666666666665</v>
      </c>
      <c r="X17" s="185" t="str">
        <f>IF(Y17="","",ROUND(AH$43,0)&amp;" EBC")</f>
        <v/>
      </c>
      <c r="Y17" s="675" t="str">
        <f>IF(AND($AH$43&lt;W17,$AH$43&gt;0),"–","")</f>
        <v/>
      </c>
      <c r="Z17" s="837" t="s">
        <v>165</v>
      </c>
      <c r="AA17" s="837"/>
      <c r="AB17" s="1017"/>
    </row>
    <row r="18" spans="2:38" ht="17" customHeight="1" thickBot="1">
      <c r="B18" s="955" t="s">
        <v>2949</v>
      </c>
      <c r="C18" s="956"/>
      <c r="D18" s="956"/>
      <c r="E18" s="956"/>
      <c r="F18" s="186" t="str">
        <f>VLOOKUP(B18,BDD!A2:G31,2,0)</f>
        <v>Low Alc Ale</v>
      </c>
      <c r="G18" s="187" t="str">
        <f>VLOOKUP(B18,BDD!A2:G31,3,0)</f>
        <v>-</v>
      </c>
      <c r="H18" s="186" t="str">
        <f>VLOOKUP(B18,BDD!A2:G31,4,0)</f>
        <v>-</v>
      </c>
      <c r="I18" s="187">
        <f>VLOOKUP(B18,BDD!A2:G31,5,0)</f>
        <v>0.15</v>
      </c>
      <c r="J18" s="188" t="str">
        <f>ROUND(VLOOKUP(B18,BDD!A2:G31,6,0),0)&amp;"° - "&amp;ROUND(VLOOKUP(B18,BDD!A2:G31,7,0),0)&amp;"°"</f>
        <v>10° - 25°</v>
      </c>
      <c r="K18" s="444"/>
      <c r="L18" s="444"/>
      <c r="M18" s="444"/>
      <c r="N18" s="182"/>
      <c r="O18" s="441">
        <f>IF(J13="lbs.",I13*0.453592*1000,IF(J13="oz.",I13*28.3495,I13))/K$11*K$2</f>
        <v>17.904947368421052</v>
      </c>
      <c r="P18" s="441" t="s">
        <v>383</v>
      </c>
      <c r="Q18" s="441"/>
      <c r="R18" s="441"/>
      <c r="S18" s="441"/>
      <c r="T18" s="441"/>
      <c r="U18" s="441"/>
      <c r="V18" s="183" t="str">
        <f t="shared" ref="V18:V45" si="3">IF(AND($AH$43&lt;W18,$AH$43&gt;W17),"–","")</f>
        <v/>
      </c>
      <c r="W18" s="184">
        <f>W17+(80/30)</f>
        <v>5.333333333333333</v>
      </c>
      <c r="X18" s="189" t="str">
        <f t="shared" ref="X18:X46" si="4">IF(Y18="","",ROUND(AH$43,0)&amp;" EBC")</f>
        <v/>
      </c>
      <c r="Y18" s="675" t="str">
        <f t="shared" ref="Y18:Y45" si="5">IF(AND($AH$43&lt;W18,$AH$43&gt;W17),"–","")</f>
        <v/>
      </c>
      <c r="Z18" s="837" t="s">
        <v>166</v>
      </c>
      <c r="AA18" s="837"/>
      <c r="AB18" s="1017"/>
    </row>
    <row r="19" spans="2:38" ht="17" customHeight="1" thickBot="1">
      <c r="B19" s="176"/>
      <c r="C19" s="444"/>
      <c r="D19" s="444"/>
      <c r="E19" s="444"/>
      <c r="F19" s="444"/>
      <c r="G19" s="444"/>
      <c r="H19" s="444"/>
      <c r="I19" s="444"/>
      <c r="J19" s="444"/>
      <c r="K19" s="444"/>
      <c r="L19" s="444"/>
      <c r="M19" s="444"/>
      <c r="N19" s="182"/>
      <c r="O19" s="441"/>
      <c r="P19" s="441"/>
      <c r="Q19" s="441"/>
      <c r="R19" s="441"/>
      <c r="S19" s="441"/>
      <c r="T19" s="441"/>
      <c r="U19" s="441"/>
      <c r="V19" s="183" t="str">
        <f t="shared" si="3"/>
        <v/>
      </c>
      <c r="W19" s="184">
        <f t="shared" ref="W19:W42" si="6">W18+(80/30)</f>
        <v>8</v>
      </c>
      <c r="X19" s="190" t="str">
        <f t="shared" si="4"/>
        <v/>
      </c>
      <c r="Y19" s="675" t="str">
        <f t="shared" si="5"/>
        <v/>
      </c>
      <c r="Z19" s="837" t="s">
        <v>162</v>
      </c>
      <c r="AA19" s="837"/>
      <c r="AB19" s="1017"/>
    </row>
    <row r="20" spans="2:38" ht="17" customHeight="1">
      <c r="B20" s="937" t="s">
        <v>153</v>
      </c>
      <c r="C20" s="938"/>
      <c r="D20" s="938"/>
      <c r="E20" s="938"/>
      <c r="F20" s="938"/>
      <c r="G20" s="939"/>
      <c r="H20" s="453" t="s">
        <v>2</v>
      </c>
      <c r="I20" s="453" t="s">
        <v>3</v>
      </c>
      <c r="J20" s="453" t="s">
        <v>4</v>
      </c>
      <c r="K20" s="453" t="s">
        <v>1199</v>
      </c>
      <c r="L20" s="454" t="s">
        <v>1192</v>
      </c>
      <c r="M20" s="444"/>
      <c r="N20" s="182"/>
      <c r="O20" s="441" t="s">
        <v>311</v>
      </c>
      <c r="P20" s="441" t="s">
        <v>1161</v>
      </c>
      <c r="Q20" s="441"/>
      <c r="R20" s="441"/>
      <c r="S20" s="441"/>
      <c r="T20" s="441"/>
      <c r="U20" s="441"/>
      <c r="V20" s="183" t="str">
        <f t="shared" si="3"/>
        <v/>
      </c>
      <c r="W20" s="184">
        <f t="shared" si="6"/>
        <v>10.666666666666666</v>
      </c>
      <c r="X20" s="191" t="str">
        <f t="shared" si="4"/>
        <v/>
      </c>
      <c r="Y20" s="675" t="str">
        <f t="shared" si="5"/>
        <v/>
      </c>
      <c r="Z20" s="842"/>
      <c r="AA20" s="842"/>
      <c r="AB20" s="1016"/>
      <c r="AD20" s="453" t="s">
        <v>1163</v>
      </c>
      <c r="AH20" s="856" t="s">
        <v>3</v>
      </c>
      <c r="AI20" s="857"/>
    </row>
    <row r="21" spans="2:38" ht="17" customHeight="1">
      <c r="B21" s="940" t="str">
        <f>IF(Recette!B15="","",Recette!B15)</f>
        <v>Pale Malt Maris Otter</v>
      </c>
      <c r="C21" s="941"/>
      <c r="D21" s="935" t="s">
        <v>135</v>
      </c>
      <c r="E21" s="935"/>
      <c r="F21" s="935"/>
      <c r="G21" s="936"/>
      <c r="H21" s="117">
        <f>IF(ISERROR(VLOOKUP(D21,BDD!$I$2:$L$72,2,0)),"",VLOOKUP(D21,BDD!$I$2:$L$72,2,0))</f>
        <v>80.660000000000011</v>
      </c>
      <c r="I21" s="117">
        <f>IF(ISERROR(VLOOKUP(D21,BDD!$I$2:$L$72,3,0)),"",VLOOKUP(D21,BDD!$I$2:$L$72,3,0))</f>
        <v>5.91</v>
      </c>
      <c r="J21" s="596">
        <f>Recette!D15/Recette!$C$5*Batch!$K$2</f>
        <v>1.35</v>
      </c>
      <c r="K21" s="192">
        <f>IF(ISERROR(IF(J21="","",(((((H21/100)*46)))*J21*2.205)/($K$2*0.264))),"",IF(J21="","",(((((H21/100)*46)))*J21*2.205)/($K$2*0.264)))</f>
        <v>34.863680965909097</v>
      </c>
      <c r="L21" s="410">
        <f t="shared" ref="L21:L35" si="7">IF(J21/J$43=0,"",J21/J$43)</f>
        <v>0.75</v>
      </c>
      <c r="M21" s="444"/>
      <c r="N21" s="182"/>
      <c r="O21" s="175">
        <f t="shared" ref="O21:O35" si="8">IF(ISERROR(J21*H21*$K$4),"",J21*H21*$K$4)</f>
        <v>87.112800000000021</v>
      </c>
      <c r="P21" s="175">
        <f t="shared" ref="P21:P35" si="9">IF(J21="","",(H21*J21/(K$2+J21))*K$4)</f>
        <v>6.5253033707865189</v>
      </c>
      <c r="Q21" s="441"/>
      <c r="R21" s="441"/>
      <c r="S21" s="441"/>
      <c r="T21" s="441"/>
      <c r="U21" s="441"/>
      <c r="V21" s="183" t="str">
        <f t="shared" si="3"/>
        <v/>
      </c>
      <c r="W21" s="184">
        <f t="shared" si="6"/>
        <v>13.333333333333332</v>
      </c>
      <c r="X21" s="193" t="str">
        <f t="shared" si="4"/>
        <v/>
      </c>
      <c r="Y21" s="675" t="str">
        <f t="shared" si="5"/>
        <v/>
      </c>
      <c r="Z21" s="837" t="s">
        <v>167</v>
      </c>
      <c r="AA21" s="837"/>
      <c r="AB21" s="1017"/>
      <c r="AD21" s="508">
        <f>IF(E14&gt;1000,E14,IF(E13&gt;1000,E13,E12))</f>
        <v>1036</v>
      </c>
      <c r="AE21" s="320"/>
      <c r="AF21" s="320"/>
      <c r="AH21" s="957">
        <f t="shared" ref="AH21:AH42" si="10">IF(J21=0,"",IF((J21*1000*I21*0.008)/K$2=0,"",(J21*1000*I21*0.008)/K$2))</f>
        <v>5.319</v>
      </c>
      <c r="AI21" s="958"/>
      <c r="AJ21" s="320"/>
      <c r="AK21" s="320"/>
      <c r="AL21" s="320"/>
    </row>
    <row r="22" spans="2:38" ht="17" customHeight="1">
      <c r="B22" s="940" t="str">
        <f>IF(Recette!B16="","",Recette!B16)</f>
        <v>Caramel/Crystal Malt – 40L</v>
      </c>
      <c r="C22" s="941"/>
      <c r="D22" s="935" t="s">
        <v>143</v>
      </c>
      <c r="E22" s="935"/>
      <c r="F22" s="935"/>
      <c r="G22" s="936"/>
      <c r="H22" s="117">
        <f>IF(ISERROR(VLOOKUP(D22,BDD!$I$2:$L$72,2,0)),"",VLOOKUP(D22,BDD!$I$2:$L$72,2,0))</f>
        <v>74.12</v>
      </c>
      <c r="I22" s="117">
        <f>IF(ISERROR(VLOOKUP(D22,BDD!$I$2:$L$72,3,0)),"",VLOOKUP(D22,BDD!$I$2:$L$72,3,0))</f>
        <v>98.5</v>
      </c>
      <c r="J22" s="596">
        <f>Recette!D16/Recette!$C$5*Batch!$K$2</f>
        <v>0.4</v>
      </c>
      <c r="K22" s="192">
        <f t="shared" ref="K22:K42" si="11">IF(ISERROR(IF(J22="","",(((((H22/100)*46)))*J22*2.205)/($K$2*0.264))),"",IF(J22="","",(((((H22/100)*46)))*J22*2.205)/($K$2*0.264)))</f>
        <v>9.4924136363636364</v>
      </c>
      <c r="L22" s="410">
        <f t="shared" si="7"/>
        <v>0.22222222222222224</v>
      </c>
      <c r="M22" s="444"/>
      <c r="N22" s="182"/>
      <c r="O22" s="175">
        <f t="shared" si="8"/>
        <v>23.718400000000003</v>
      </c>
      <c r="P22" s="175">
        <f t="shared" si="9"/>
        <v>1.9127741935483873</v>
      </c>
      <c r="Q22" s="441"/>
      <c r="R22" s="441"/>
      <c r="S22" s="441"/>
      <c r="T22" s="441"/>
      <c r="U22" s="441"/>
      <c r="V22" s="183" t="str">
        <f t="shared" si="3"/>
        <v/>
      </c>
      <c r="W22" s="184">
        <f t="shared" si="6"/>
        <v>15.999999999999998</v>
      </c>
      <c r="X22" s="194" t="str">
        <f t="shared" si="4"/>
        <v/>
      </c>
      <c r="Y22" s="675" t="str">
        <f t="shared" si="5"/>
        <v/>
      </c>
      <c r="Z22" s="837" t="s">
        <v>168</v>
      </c>
      <c r="AA22" s="837"/>
      <c r="AB22" s="1017"/>
      <c r="AD22" s="508"/>
      <c r="AE22" s="320"/>
      <c r="AF22" s="320"/>
      <c r="AH22" s="852">
        <f t="shared" si="10"/>
        <v>26.266666666666666</v>
      </c>
      <c r="AI22" s="948"/>
      <c r="AJ22" s="320"/>
      <c r="AK22" s="320"/>
      <c r="AL22" s="320"/>
    </row>
    <row r="23" spans="2:38" ht="17" customHeight="1">
      <c r="B23" s="940" t="str">
        <f>IF(Recette!B17="","",Recette!B17)</f>
        <v>Acid Malt</v>
      </c>
      <c r="C23" s="941"/>
      <c r="D23" s="1024" t="s">
        <v>85</v>
      </c>
      <c r="E23" s="935"/>
      <c r="F23" s="935"/>
      <c r="G23" s="936"/>
      <c r="H23" s="117">
        <f>IF(ISERROR(VLOOKUP(D23,BDD!$I$2:$L$72,2,0)),"",VLOOKUP(D23,BDD!$I$2:$L$72,2,0))</f>
        <v>58.860000000000007</v>
      </c>
      <c r="I23" s="117">
        <f>IF(ISERROR(VLOOKUP(D23,BDD!$I$2:$L$72,3,0)),"",VLOOKUP(D23,BDD!$I$2:$L$72,3,0))</f>
        <v>5.91</v>
      </c>
      <c r="J23" s="596">
        <f>Recette!D17/Recette!$C$5*Batch!$K$2</f>
        <v>0.05</v>
      </c>
      <c r="K23" s="192">
        <f t="shared" si="11"/>
        <v>0.94226164772727283</v>
      </c>
      <c r="L23" s="410">
        <f t="shared" si="7"/>
        <v>2.777777777777778E-2</v>
      </c>
      <c r="M23" s="444"/>
      <c r="N23" s="182"/>
      <c r="O23" s="175">
        <f t="shared" si="8"/>
        <v>2.3544000000000005</v>
      </c>
      <c r="P23" s="175">
        <f t="shared" si="9"/>
        <v>0.19538589211618262</v>
      </c>
      <c r="Q23" s="441"/>
      <c r="R23" s="441"/>
      <c r="S23" s="441"/>
      <c r="T23" s="441"/>
      <c r="U23" s="441"/>
      <c r="V23" s="183" t="str">
        <f t="shared" si="3"/>
        <v/>
      </c>
      <c r="W23" s="184">
        <f t="shared" si="6"/>
        <v>18.666666666666664</v>
      </c>
      <c r="X23" s="195" t="str">
        <f t="shared" si="4"/>
        <v/>
      </c>
      <c r="Y23" s="675" t="str">
        <f t="shared" si="5"/>
        <v/>
      </c>
      <c r="Z23" s="842"/>
      <c r="AA23" s="842"/>
      <c r="AB23" s="1016"/>
      <c r="AD23" s="508" t="s">
        <v>1077</v>
      </c>
      <c r="AE23" s="320"/>
      <c r="AF23" s="320"/>
      <c r="AH23" s="852">
        <f t="shared" si="10"/>
        <v>0.19699999999999998</v>
      </c>
      <c r="AI23" s="948"/>
      <c r="AJ23" s="320"/>
      <c r="AK23" s="320"/>
      <c r="AL23" s="320"/>
    </row>
    <row r="24" spans="2:38" ht="17" customHeight="1">
      <c r="B24" s="940" t="str">
        <f>IF(Recette!B18="","",Recette!B18)</f>
        <v/>
      </c>
      <c r="C24" s="941"/>
      <c r="D24" s="935"/>
      <c r="E24" s="935"/>
      <c r="F24" s="935"/>
      <c r="G24" s="936"/>
      <c r="H24" s="117" t="str">
        <f>IF(ISERROR(VLOOKUP(D24,BDD!$I$2:$L$72,2,0)),"",VLOOKUP(D24,BDD!$I$2:$L$72,2,0))</f>
        <v/>
      </c>
      <c r="I24" s="117" t="str">
        <f>IF(ISERROR(VLOOKUP(D24,BDD!$I$2:$L$72,3,0)),"",VLOOKUP(D24,BDD!$I$2:$L$72,3,0))</f>
        <v/>
      </c>
      <c r="J24" s="596">
        <f>Recette!D18/Recette!$C$5*Batch!$K$2</f>
        <v>0</v>
      </c>
      <c r="K24" s="192" t="str">
        <f t="shared" si="11"/>
        <v/>
      </c>
      <c r="L24" s="410" t="str">
        <f t="shared" si="7"/>
        <v/>
      </c>
      <c r="M24" s="444"/>
      <c r="N24" s="182"/>
      <c r="O24" s="175" t="str">
        <f t="shared" si="8"/>
        <v/>
      </c>
      <c r="P24" s="175" t="e">
        <f t="shared" si="9"/>
        <v>#VALUE!</v>
      </c>
      <c r="Q24" s="441"/>
      <c r="R24" s="441"/>
      <c r="S24" s="441"/>
      <c r="T24" s="441"/>
      <c r="U24" s="441"/>
      <c r="V24" s="183" t="str">
        <f t="shared" si="3"/>
        <v/>
      </c>
      <c r="W24" s="184">
        <f t="shared" si="6"/>
        <v>21.333333333333332</v>
      </c>
      <c r="X24" s="196" t="str">
        <f t="shared" si="4"/>
        <v/>
      </c>
      <c r="Y24" s="675" t="str">
        <f t="shared" si="5"/>
        <v/>
      </c>
      <c r="Z24" s="837" t="s">
        <v>169</v>
      </c>
      <c r="AA24" s="837"/>
      <c r="AB24" s="1017"/>
      <c r="AD24" s="508">
        <f>(1+(C8/(258.6-(0.88*C8))))*1000</f>
        <v>1036.3140084280424</v>
      </c>
      <c r="AE24" s="326">
        <f>AD24/1000</f>
        <v>1.0363140084280424</v>
      </c>
      <c r="AF24" s="320"/>
      <c r="AH24" s="852" t="str">
        <f t="shared" si="10"/>
        <v/>
      </c>
      <c r="AI24" s="948"/>
      <c r="AJ24" s="320"/>
      <c r="AK24" s="320"/>
      <c r="AL24" s="320"/>
    </row>
    <row r="25" spans="2:38" ht="17" customHeight="1">
      <c r="B25" s="940" t="str">
        <f>IF(Recette!B19="","",Recette!B19)</f>
        <v/>
      </c>
      <c r="C25" s="941"/>
      <c r="D25" s="935"/>
      <c r="E25" s="935"/>
      <c r="F25" s="935"/>
      <c r="G25" s="936"/>
      <c r="H25" s="117" t="str">
        <f>IF(ISERROR(VLOOKUP(D25,BDD!$I$2:$L$72,2,0)),"",VLOOKUP(D25,BDD!$I$2:$L$72,2,0))</f>
        <v/>
      </c>
      <c r="I25" s="117" t="str">
        <f>IF(ISERROR(VLOOKUP(D25,BDD!$I$2:$L$72,3,0)),"",VLOOKUP(D25,BDD!$I$2:$L$72,3,0))</f>
        <v/>
      </c>
      <c r="J25" s="596">
        <f>Recette!D19/Recette!$C$5*Batch!$K$2</f>
        <v>0</v>
      </c>
      <c r="K25" s="192" t="str">
        <f t="shared" si="11"/>
        <v/>
      </c>
      <c r="L25" s="410" t="str">
        <f t="shared" si="7"/>
        <v/>
      </c>
      <c r="M25" s="444"/>
      <c r="N25" s="182"/>
      <c r="O25" s="175" t="str">
        <f t="shared" si="8"/>
        <v/>
      </c>
      <c r="P25" s="175" t="e">
        <f t="shared" si="9"/>
        <v>#VALUE!</v>
      </c>
      <c r="Q25" s="441"/>
      <c r="R25" s="441"/>
      <c r="S25" s="441"/>
      <c r="T25" s="441"/>
      <c r="U25" s="441"/>
      <c r="V25" s="183" t="str">
        <f t="shared" si="3"/>
        <v/>
      </c>
      <c r="W25" s="184">
        <f t="shared" si="6"/>
        <v>24</v>
      </c>
      <c r="X25" s="197" t="str">
        <f t="shared" si="4"/>
        <v/>
      </c>
      <c r="Y25" s="675" t="str">
        <f t="shared" si="5"/>
        <v/>
      </c>
      <c r="Z25" s="842"/>
      <c r="AA25" s="842"/>
      <c r="AB25" s="1016"/>
      <c r="AD25" s="508"/>
      <c r="AE25" s="320"/>
      <c r="AF25" s="320"/>
      <c r="AH25" s="852" t="str">
        <f t="shared" si="10"/>
        <v/>
      </c>
      <c r="AI25" s="948"/>
      <c r="AJ25" s="320"/>
      <c r="AK25" s="320"/>
      <c r="AL25" s="320"/>
    </row>
    <row r="26" spans="2:38" ht="17" customHeight="1">
      <c r="B26" s="940" t="str">
        <f>IF(Recette!B20="","",Recette!B20)</f>
        <v/>
      </c>
      <c r="C26" s="941"/>
      <c r="D26" s="935"/>
      <c r="E26" s="935"/>
      <c r="F26" s="935"/>
      <c r="G26" s="936"/>
      <c r="H26" s="117" t="str">
        <f>IF(ISERROR(VLOOKUP(D26,BDD!$I$2:$L$72,2,0)),"",VLOOKUP(D26,BDD!$I$2:$L$72,2,0))</f>
        <v/>
      </c>
      <c r="I26" s="117" t="str">
        <f>IF(ISERROR(VLOOKUP(D26,BDD!$I$2:$L$72,3,0)),"",VLOOKUP(D26,BDD!$I$2:$L$72,3,0))</f>
        <v/>
      </c>
      <c r="J26" s="596">
        <f>Recette!D20/Recette!$C$5*Batch!$K$2</f>
        <v>0</v>
      </c>
      <c r="K26" s="192" t="str">
        <f t="shared" si="11"/>
        <v/>
      </c>
      <c r="L26" s="410" t="str">
        <f t="shared" si="7"/>
        <v/>
      </c>
      <c r="M26" s="444"/>
      <c r="N26" s="182"/>
      <c r="O26" s="175" t="str">
        <f t="shared" si="8"/>
        <v/>
      </c>
      <c r="P26" s="175" t="e">
        <f t="shared" si="9"/>
        <v>#VALUE!</v>
      </c>
      <c r="Q26" s="441"/>
      <c r="R26" s="441"/>
      <c r="S26" s="441"/>
      <c r="T26" s="441"/>
      <c r="U26" s="441"/>
      <c r="V26" s="183" t="str">
        <f t="shared" si="3"/>
        <v/>
      </c>
      <c r="W26" s="184">
        <f t="shared" si="6"/>
        <v>26.666666666666668</v>
      </c>
      <c r="X26" s="198" t="str">
        <f t="shared" si="4"/>
        <v/>
      </c>
      <c r="Y26" s="675" t="str">
        <f t="shared" si="5"/>
        <v/>
      </c>
      <c r="Z26" s="837" t="s">
        <v>170</v>
      </c>
      <c r="AA26" s="837"/>
      <c r="AB26" s="1017"/>
      <c r="AD26" s="508" t="s">
        <v>1164</v>
      </c>
      <c r="AE26" s="320"/>
      <c r="AF26" s="320"/>
      <c r="AH26" s="852" t="str">
        <f t="shared" si="10"/>
        <v/>
      </c>
      <c r="AI26" s="948"/>
      <c r="AL26" s="326"/>
    </row>
    <row r="27" spans="2:38" ht="17" customHeight="1">
      <c r="B27" s="940" t="str">
        <f>IF(Recette!B21="","",Recette!B21)</f>
        <v/>
      </c>
      <c r="C27" s="941"/>
      <c r="D27" s="935"/>
      <c r="E27" s="935"/>
      <c r="F27" s="935"/>
      <c r="G27" s="936"/>
      <c r="H27" s="117" t="str">
        <f>IF(ISERROR(VLOOKUP(D27,BDD!$I$2:$L$72,2,0)),"",VLOOKUP(D27,BDD!$I$2:$L$72,2,0))</f>
        <v/>
      </c>
      <c r="I27" s="117" t="str">
        <f>IF(ISERROR(VLOOKUP(D27,BDD!$I$2:$L$72,3,0)),"",VLOOKUP(D27,BDD!$I$2:$L$72,3,0))</f>
        <v/>
      </c>
      <c r="J27" s="596">
        <f>Recette!D21/Recette!$C$5*Batch!$K$2</f>
        <v>0</v>
      </c>
      <c r="K27" s="192" t="str">
        <f t="shared" si="11"/>
        <v/>
      </c>
      <c r="L27" s="410" t="str">
        <f t="shared" si="7"/>
        <v/>
      </c>
      <c r="M27" s="444"/>
      <c r="N27" s="182"/>
      <c r="O27" s="175" t="str">
        <f t="shared" si="8"/>
        <v/>
      </c>
      <c r="P27" s="175" t="e">
        <f t="shared" si="9"/>
        <v>#VALUE!</v>
      </c>
      <c r="Q27" s="441"/>
      <c r="R27" s="441"/>
      <c r="S27" s="441"/>
      <c r="T27" s="441"/>
      <c r="U27" s="441"/>
      <c r="V27" s="183" t="str">
        <f t="shared" si="3"/>
        <v/>
      </c>
      <c r="W27" s="184">
        <f t="shared" si="6"/>
        <v>29.333333333333336</v>
      </c>
      <c r="X27" s="199" t="str">
        <f t="shared" si="4"/>
        <v/>
      </c>
      <c r="Y27" s="675" t="str">
        <f t="shared" si="5"/>
        <v/>
      </c>
      <c r="Z27" s="842"/>
      <c r="AA27" s="842"/>
      <c r="AB27" s="1016"/>
      <c r="AD27" s="508">
        <f>IF(C8="",Recette!E4,IF(J8="",(((AD21-1000)*(1-K9))+1000),(1+(J8/(258.6-(0.88*J8))))*1000))</f>
        <v>1016.874921511993</v>
      </c>
      <c r="AE27" s="326">
        <f>AD27/1000</f>
        <v>1.016874921511993</v>
      </c>
      <c r="AF27" s="320"/>
      <c r="AH27" s="852" t="str">
        <f t="shared" si="10"/>
        <v/>
      </c>
      <c r="AI27" s="948"/>
      <c r="AL27" s="326"/>
    </row>
    <row r="28" spans="2:38" ht="17" customHeight="1">
      <c r="B28" s="940" t="str">
        <f>IF(Recette!B22="","",Recette!B22)</f>
        <v/>
      </c>
      <c r="C28" s="941"/>
      <c r="D28" s="935"/>
      <c r="E28" s="935"/>
      <c r="F28" s="935"/>
      <c r="G28" s="936"/>
      <c r="H28" s="117" t="str">
        <f>IF(ISERROR(VLOOKUP(D28,BDD!$I$2:$L$72,2,0)),"",VLOOKUP(D28,BDD!$I$2:$L$72,2,0))</f>
        <v/>
      </c>
      <c r="I28" s="117" t="str">
        <f>IF(ISERROR(VLOOKUP(D28,BDD!$I$2:$L$72,3,0)),"",VLOOKUP(D28,BDD!$I$2:$L$72,3,0))</f>
        <v/>
      </c>
      <c r="J28" s="596">
        <f>Recette!D22/Recette!$C$5*Batch!$K$2</f>
        <v>0</v>
      </c>
      <c r="K28" s="192" t="str">
        <f t="shared" si="11"/>
        <v/>
      </c>
      <c r="L28" s="410" t="str">
        <f t="shared" si="7"/>
        <v/>
      </c>
      <c r="M28" s="444"/>
      <c r="N28" s="182"/>
      <c r="O28" s="175" t="str">
        <f t="shared" si="8"/>
        <v/>
      </c>
      <c r="P28" s="175" t="e">
        <f t="shared" si="9"/>
        <v>#VALUE!</v>
      </c>
      <c r="Q28" s="441"/>
      <c r="R28" s="441"/>
      <c r="S28" s="441"/>
      <c r="T28" s="441"/>
      <c r="U28" s="441"/>
      <c r="V28" s="183" t="str">
        <f t="shared" si="3"/>
        <v/>
      </c>
      <c r="W28" s="184">
        <f t="shared" si="6"/>
        <v>32</v>
      </c>
      <c r="X28" s="200" t="str">
        <f t="shared" si="4"/>
        <v/>
      </c>
      <c r="Y28" s="675" t="str">
        <f t="shared" si="5"/>
        <v/>
      </c>
      <c r="Z28" s="842"/>
      <c r="AA28" s="842"/>
      <c r="AB28" s="1016"/>
      <c r="AD28" s="508"/>
      <c r="AE28" s="320"/>
      <c r="AF28" s="320"/>
      <c r="AH28" s="852" t="str">
        <f t="shared" si="10"/>
        <v/>
      </c>
      <c r="AI28" s="948"/>
      <c r="AL28" s="326"/>
    </row>
    <row r="29" spans="2:38" ht="17" customHeight="1">
      <c r="B29" s="940" t="str">
        <f>IF(Recette!B23="","",Recette!B23)</f>
        <v/>
      </c>
      <c r="C29" s="941"/>
      <c r="D29" s="935"/>
      <c r="E29" s="935"/>
      <c r="F29" s="935"/>
      <c r="G29" s="936"/>
      <c r="H29" s="117" t="str">
        <f>IF(ISERROR(VLOOKUP(D29,BDD!$I$2:$L$72,2,0)),"",VLOOKUP(D29,BDD!$I$2:$L$72,2,0))</f>
        <v/>
      </c>
      <c r="I29" s="117" t="str">
        <f>IF(ISERROR(VLOOKUP(D29,BDD!$I$2:$L$72,3,0)),"",VLOOKUP(D29,BDD!$I$2:$L$72,3,0))</f>
        <v/>
      </c>
      <c r="J29" s="596">
        <f>Recette!D23/Recette!$C$5*Batch!$K$2</f>
        <v>0</v>
      </c>
      <c r="K29" s="192" t="str">
        <f t="shared" si="11"/>
        <v/>
      </c>
      <c r="L29" s="410" t="str">
        <f t="shared" si="7"/>
        <v/>
      </c>
      <c r="M29" s="444"/>
      <c r="N29" s="182"/>
      <c r="O29" s="175" t="str">
        <f t="shared" si="8"/>
        <v/>
      </c>
      <c r="P29" s="175" t="e">
        <f t="shared" si="9"/>
        <v>#VALUE!</v>
      </c>
      <c r="Q29" s="441"/>
      <c r="R29" s="441"/>
      <c r="S29" s="441"/>
      <c r="T29" s="441"/>
      <c r="U29" s="441"/>
      <c r="V29" s="183" t="str">
        <f t="shared" si="3"/>
        <v>–</v>
      </c>
      <c r="W29" s="184">
        <f t="shared" si="6"/>
        <v>34.666666666666664</v>
      </c>
      <c r="X29" s="201" t="str">
        <f t="shared" si="4"/>
        <v>33 EBC</v>
      </c>
      <c r="Y29" s="675" t="str">
        <f t="shared" si="5"/>
        <v>–</v>
      </c>
      <c r="Z29" s="837" t="s">
        <v>171</v>
      </c>
      <c r="AA29" s="837"/>
      <c r="AB29" s="1017"/>
      <c r="AD29" s="508" t="s">
        <v>1165</v>
      </c>
      <c r="AE29" s="320"/>
      <c r="AF29" s="320"/>
      <c r="AH29" s="852" t="str">
        <f t="shared" si="10"/>
        <v/>
      </c>
      <c r="AI29" s="948"/>
      <c r="AL29" s="326"/>
    </row>
    <row r="30" spans="2:38" ht="17" customHeight="1">
      <c r="B30" s="940" t="str">
        <f>IF(Recette!B24="","",Recette!B24)</f>
        <v/>
      </c>
      <c r="C30" s="941"/>
      <c r="D30" s="935"/>
      <c r="E30" s="935"/>
      <c r="F30" s="935"/>
      <c r="G30" s="936"/>
      <c r="H30" s="117" t="str">
        <f>IF(ISERROR(VLOOKUP(D30,BDD!$I$2:$L$72,2,0)),"",VLOOKUP(D30,BDD!$I$2:$L$72,2,0))</f>
        <v/>
      </c>
      <c r="I30" s="117" t="str">
        <f>IF(ISERROR(VLOOKUP(D30,BDD!$I$2:$L$72,3,0)),"",VLOOKUP(D30,BDD!$I$2:$L$72,3,0))</f>
        <v/>
      </c>
      <c r="J30" s="596">
        <f>Recette!D24/Recette!$C$5*Batch!$K$2</f>
        <v>0</v>
      </c>
      <c r="K30" s="192" t="str">
        <f t="shared" si="11"/>
        <v/>
      </c>
      <c r="L30" s="410" t="str">
        <f t="shared" si="7"/>
        <v/>
      </c>
      <c r="M30" s="444"/>
      <c r="N30" s="182"/>
      <c r="O30" s="175" t="str">
        <f t="shared" si="8"/>
        <v/>
      </c>
      <c r="P30" s="175" t="e">
        <f t="shared" si="9"/>
        <v>#VALUE!</v>
      </c>
      <c r="Q30" s="441"/>
      <c r="R30" s="441"/>
      <c r="S30" s="441"/>
      <c r="T30" s="441"/>
      <c r="U30" s="441"/>
      <c r="V30" s="183" t="str">
        <f t="shared" si="3"/>
        <v/>
      </c>
      <c r="W30" s="184">
        <f t="shared" si="6"/>
        <v>37.333333333333329</v>
      </c>
      <c r="X30" s="202" t="str">
        <f t="shared" si="4"/>
        <v/>
      </c>
      <c r="Y30" s="675" t="str">
        <f t="shared" si="5"/>
        <v/>
      </c>
      <c r="Z30" s="842"/>
      <c r="AA30" s="842"/>
      <c r="AB30" s="1016"/>
      <c r="AD30" s="508"/>
      <c r="AE30" s="320">
        <f>(AE24-AE27)/(AE24-1)</f>
        <v>0.53530545807325913</v>
      </c>
      <c r="AF30" s="320"/>
      <c r="AH30" s="852" t="str">
        <f t="shared" si="10"/>
        <v/>
      </c>
      <c r="AI30" s="948"/>
      <c r="AL30" s="326"/>
    </row>
    <row r="31" spans="2:38" ht="17" customHeight="1">
      <c r="B31" s="940" t="str">
        <f>IF(Recette!B25="","",Recette!B25)</f>
        <v/>
      </c>
      <c r="C31" s="941"/>
      <c r="D31" s="935"/>
      <c r="E31" s="935"/>
      <c r="F31" s="935"/>
      <c r="G31" s="936"/>
      <c r="H31" s="117" t="str">
        <f>IF(ISERROR(VLOOKUP(D31,BDD!$I$2:$L$72,2,0)),"",VLOOKUP(D31,BDD!$I$2:$L$72,2,0))</f>
        <v/>
      </c>
      <c r="I31" s="117" t="str">
        <f>IF(ISERROR(VLOOKUP(D31,BDD!$I$2:$L$72,3,0)),"",VLOOKUP(D31,BDD!$I$2:$L$72,3,0))</f>
        <v/>
      </c>
      <c r="J31" s="596">
        <f>Recette!D25/Recette!$C$5*Batch!$K$2</f>
        <v>0</v>
      </c>
      <c r="K31" s="192" t="str">
        <f t="shared" si="11"/>
        <v/>
      </c>
      <c r="L31" s="410" t="str">
        <f t="shared" si="7"/>
        <v/>
      </c>
      <c r="M31" s="444"/>
      <c r="N31" s="182"/>
      <c r="O31" s="175" t="str">
        <f t="shared" si="8"/>
        <v/>
      </c>
      <c r="P31" s="175" t="e">
        <f t="shared" si="9"/>
        <v>#VALUE!</v>
      </c>
      <c r="Q31" s="441"/>
      <c r="R31" s="441" t="s">
        <v>181</v>
      </c>
      <c r="S31" s="441"/>
      <c r="T31" s="441"/>
      <c r="U31" s="441"/>
      <c r="V31" s="183" t="str">
        <f t="shared" si="3"/>
        <v/>
      </c>
      <c r="W31" s="184">
        <f t="shared" si="6"/>
        <v>39.999999999999993</v>
      </c>
      <c r="X31" s="203" t="str">
        <f t="shared" si="4"/>
        <v/>
      </c>
      <c r="Y31" s="675" t="str">
        <f t="shared" si="5"/>
        <v/>
      </c>
      <c r="Z31" s="842"/>
      <c r="AA31" s="842"/>
      <c r="AB31" s="1016"/>
      <c r="AD31" s="508"/>
      <c r="AE31" s="320"/>
      <c r="AF31" s="320"/>
      <c r="AH31" s="852" t="str">
        <f t="shared" si="10"/>
        <v/>
      </c>
      <c r="AI31" s="948"/>
      <c r="AL31" s="326"/>
    </row>
    <row r="32" spans="2:38" ht="17" customHeight="1">
      <c r="B32" s="940" t="str">
        <f>IF(Recette!B26="","",Recette!B26)</f>
        <v/>
      </c>
      <c r="C32" s="941"/>
      <c r="D32" s="935"/>
      <c r="E32" s="935"/>
      <c r="F32" s="935"/>
      <c r="G32" s="936"/>
      <c r="H32" s="117" t="str">
        <f>IF(ISERROR(VLOOKUP(D32,BDD!$I$2:$L$72,2,0)),"",VLOOKUP(D32,BDD!$I$2:$L$72,2,0))</f>
        <v/>
      </c>
      <c r="I32" s="117" t="str">
        <f>IF(ISERROR(VLOOKUP(D32,BDD!$I$2:$L$72,3,0)),"",VLOOKUP(D32,BDD!$I$2:$L$72,3,0))</f>
        <v/>
      </c>
      <c r="J32" s="596">
        <f>Recette!D26/Recette!$C$5*Batch!$K$2</f>
        <v>0</v>
      </c>
      <c r="K32" s="192" t="str">
        <f t="shared" si="11"/>
        <v/>
      </c>
      <c r="L32" s="410" t="str">
        <f t="shared" si="7"/>
        <v/>
      </c>
      <c r="M32" s="444"/>
      <c r="N32" s="182"/>
      <c r="O32" s="175" t="str">
        <f t="shared" si="8"/>
        <v/>
      </c>
      <c r="P32" s="175" t="e">
        <f t="shared" si="9"/>
        <v>#VALUE!</v>
      </c>
      <c r="Q32" s="441"/>
      <c r="R32" s="175">
        <v>0</v>
      </c>
      <c r="S32" s="441"/>
      <c r="T32" s="441"/>
      <c r="U32" s="441"/>
      <c r="V32" s="183" t="str">
        <f t="shared" si="3"/>
        <v/>
      </c>
      <c r="W32" s="184">
        <f t="shared" si="6"/>
        <v>42.666666666666657</v>
      </c>
      <c r="X32" s="204" t="str">
        <f t="shared" si="4"/>
        <v/>
      </c>
      <c r="Y32" s="675" t="str">
        <f t="shared" si="5"/>
        <v/>
      </c>
      <c r="Z32" s="837" t="s">
        <v>172</v>
      </c>
      <c r="AA32" s="837"/>
      <c r="AB32" s="1017"/>
      <c r="AD32" s="508" t="s">
        <v>1166</v>
      </c>
      <c r="AE32" s="320"/>
      <c r="AF32" s="320"/>
      <c r="AH32" s="852" t="str">
        <f t="shared" si="10"/>
        <v/>
      </c>
      <c r="AI32" s="948"/>
      <c r="AL32" s="326"/>
    </row>
    <row r="33" spans="2:38" ht="17" customHeight="1">
      <c r="B33" s="940" t="str">
        <f>IF(Recette!B27="","",Recette!B27)</f>
        <v/>
      </c>
      <c r="C33" s="941"/>
      <c r="D33" s="935"/>
      <c r="E33" s="935"/>
      <c r="F33" s="935"/>
      <c r="G33" s="936"/>
      <c r="H33" s="117" t="str">
        <f>IF(ISERROR(VLOOKUP(D33,BDD!$I$2:$L$72,2,0)),"",VLOOKUP(D33,BDD!$I$2:$L$72,2,0))</f>
        <v/>
      </c>
      <c r="I33" s="117" t="str">
        <f>IF(ISERROR(VLOOKUP(D33,BDD!$I$2:$L$72,3,0)),"",VLOOKUP(D33,BDD!$I$2:$L$72,3,0))</f>
        <v/>
      </c>
      <c r="J33" s="596">
        <f>Recette!D27/Recette!$C$5*Batch!$K$2</f>
        <v>0</v>
      </c>
      <c r="K33" s="192" t="str">
        <f t="shared" si="11"/>
        <v/>
      </c>
      <c r="L33" s="410" t="str">
        <f t="shared" si="7"/>
        <v/>
      </c>
      <c r="M33" s="444"/>
      <c r="N33" s="182"/>
      <c r="O33" s="175" t="str">
        <f t="shared" si="8"/>
        <v/>
      </c>
      <c r="P33" s="175" t="e">
        <f t="shared" si="9"/>
        <v>#VALUE!</v>
      </c>
      <c r="Q33" s="441"/>
      <c r="R33" s="441" t="s">
        <v>182</v>
      </c>
      <c r="S33" s="441"/>
      <c r="T33" s="441"/>
      <c r="U33" s="441"/>
      <c r="V33" s="183" t="str">
        <f t="shared" si="3"/>
        <v/>
      </c>
      <c r="W33" s="184">
        <f t="shared" si="6"/>
        <v>45.333333333333321</v>
      </c>
      <c r="X33" s="205" t="str">
        <f t="shared" si="4"/>
        <v/>
      </c>
      <c r="Y33" s="675" t="str">
        <f t="shared" si="5"/>
        <v/>
      </c>
      <c r="Z33" s="842"/>
      <c r="AA33" s="842"/>
      <c r="AB33" s="1016"/>
      <c r="AD33" s="508"/>
      <c r="AE33" s="320">
        <f>(C8-((C8*0.19)+(0.82*J8)))/C8</f>
        <v>0.42252747252747253</v>
      </c>
      <c r="AH33" s="852" t="str">
        <f t="shared" si="10"/>
        <v/>
      </c>
      <c r="AI33" s="948"/>
      <c r="AL33" s="326"/>
    </row>
    <row r="34" spans="2:38" ht="17" customHeight="1">
      <c r="B34" s="940" t="str">
        <f>IF(Recette!B28="","",Recette!B28)</f>
        <v/>
      </c>
      <c r="C34" s="941"/>
      <c r="D34" s="396" t="s">
        <v>1</v>
      </c>
      <c r="E34" s="945"/>
      <c r="F34" s="946"/>
      <c r="G34" s="947"/>
      <c r="H34" s="9"/>
      <c r="I34" s="8"/>
      <c r="J34" s="596"/>
      <c r="K34" s="192" t="str">
        <f t="shared" si="11"/>
        <v/>
      </c>
      <c r="L34" s="410" t="str">
        <f t="shared" si="7"/>
        <v/>
      </c>
      <c r="M34" s="444"/>
      <c r="N34" s="182"/>
      <c r="O34" s="175">
        <f t="shared" si="8"/>
        <v>0</v>
      </c>
      <c r="P34" s="175" t="str">
        <f t="shared" si="9"/>
        <v/>
      </c>
      <c r="Q34" s="441"/>
      <c r="R34" s="206" t="e">
        <f>(0.1808*P43+0.8192*((P43+R32)-(P43*((K36*I18)+(K42*0.88)))))/100</f>
        <v>#VALUE!</v>
      </c>
      <c r="S34" s="441"/>
      <c r="T34" s="441"/>
      <c r="U34" s="441"/>
      <c r="V34" s="183" t="str">
        <f t="shared" si="3"/>
        <v/>
      </c>
      <c r="W34" s="184">
        <f t="shared" si="6"/>
        <v>47.999999999999986</v>
      </c>
      <c r="X34" s="207" t="str">
        <f t="shared" si="4"/>
        <v/>
      </c>
      <c r="Y34" s="675" t="str">
        <f t="shared" si="5"/>
        <v/>
      </c>
      <c r="Z34" s="842"/>
      <c r="AA34" s="842"/>
      <c r="AB34" s="1016"/>
      <c r="AD34" s="508" t="s">
        <v>25</v>
      </c>
      <c r="AE34" s="320"/>
      <c r="AF34" s="320"/>
      <c r="AH34" s="852" t="str">
        <f t="shared" si="10"/>
        <v/>
      </c>
      <c r="AI34" s="948"/>
      <c r="AL34" s="326"/>
    </row>
    <row r="35" spans="2:38" ht="17" customHeight="1">
      <c r="B35" s="940" t="str">
        <f>IF(Recette!B29="","",Recette!B29)</f>
        <v/>
      </c>
      <c r="C35" s="941"/>
      <c r="D35" s="396" t="s">
        <v>1</v>
      </c>
      <c r="E35" s="945"/>
      <c r="F35" s="946"/>
      <c r="G35" s="947"/>
      <c r="H35" s="9"/>
      <c r="I35" s="8"/>
      <c r="J35" s="596">
        <f>Recette!D29/Recette!$C$5*Batch!$K$2</f>
        <v>0</v>
      </c>
      <c r="K35" s="192">
        <f t="shared" si="11"/>
        <v>0</v>
      </c>
      <c r="L35" s="410" t="str">
        <f t="shared" si="7"/>
        <v/>
      </c>
      <c r="M35" s="444"/>
      <c r="N35" s="182"/>
      <c r="O35" s="175">
        <f t="shared" si="8"/>
        <v>0</v>
      </c>
      <c r="P35" s="175">
        <f t="shared" si="9"/>
        <v>0</v>
      </c>
      <c r="Q35" s="441"/>
      <c r="R35" s="441" t="s">
        <v>183</v>
      </c>
      <c r="S35" s="441"/>
      <c r="T35" s="441"/>
      <c r="U35" s="441"/>
      <c r="V35" s="183" t="str">
        <f t="shared" si="3"/>
        <v/>
      </c>
      <c r="W35" s="184">
        <f t="shared" si="6"/>
        <v>50.66666666666665</v>
      </c>
      <c r="X35" s="208" t="str">
        <f t="shared" si="4"/>
        <v/>
      </c>
      <c r="Y35" s="675" t="str">
        <f t="shared" si="5"/>
        <v/>
      </c>
      <c r="Z35" s="837" t="s">
        <v>173</v>
      </c>
      <c r="AA35" s="837"/>
      <c r="AB35" s="1017"/>
      <c r="AD35" s="508">
        <f>SUM(J82:M90)</f>
        <v>54.880198780262035</v>
      </c>
      <c r="AE35" s="320"/>
      <c r="AF35" s="320"/>
      <c r="AH35" s="852" t="str">
        <f t="shared" si="10"/>
        <v/>
      </c>
      <c r="AI35" s="948"/>
      <c r="AL35" s="326"/>
    </row>
    <row r="36" spans="2:38" ht="17" customHeight="1">
      <c r="B36" s="942" t="s">
        <v>180</v>
      </c>
      <c r="C36" s="943"/>
      <c r="D36" s="943"/>
      <c r="E36" s="943"/>
      <c r="F36" s="943"/>
      <c r="G36" s="943"/>
      <c r="H36" s="943"/>
      <c r="I36" s="944"/>
      <c r="J36" s="419">
        <f>SUM(J21:J35)</f>
        <v>1.8</v>
      </c>
      <c r="K36" s="192">
        <f t="shared" si="11"/>
        <v>0</v>
      </c>
      <c r="L36" s="411">
        <f>J36/J43</f>
        <v>1</v>
      </c>
      <c r="M36" s="444"/>
      <c r="N36" s="182"/>
      <c r="O36" s="175"/>
      <c r="P36" s="175"/>
      <c r="Q36" s="441"/>
      <c r="R36" s="211" t="e">
        <f>(IF(((ROUND(1+(P43/(258.6-(0.88*P43))),3)*P43*K2)/(K2*ROUND(1+(P43/(258.6-(0.88*P43))),3))-(R34*100))/(2.0665-0.010665*(ROUND(1+(P43/(258.6-(0.88*P43))),3)*P43*K2)/(K2*ROUND(1+(P43/(258.6-(0.88*P43))),3)))&lt;0,0,((ROUND(1+(P43/(258.6-(0.88*P43))),3)*P43*K2)/(K2*ROUND(1+(P43/(258.6-(0.88*P43))),3))-(R34*100))/(2.0665-0.010665*((ROUND(1+(P43/(258.6-(0.88*P43))),3)*P43*K2)/(K2*ROUND(1+(P43/(258.6-(0.88*P43))),3))-R32))))/100</f>
        <v>#VALUE!</v>
      </c>
      <c r="S36" s="441"/>
      <c r="T36" s="441"/>
      <c r="U36" s="441"/>
      <c r="V36" s="183" t="str">
        <f t="shared" si="3"/>
        <v/>
      </c>
      <c r="W36" s="184">
        <f t="shared" si="6"/>
        <v>53.333333333333314</v>
      </c>
      <c r="X36" s="212" t="str">
        <f t="shared" si="4"/>
        <v/>
      </c>
      <c r="Y36" s="675" t="str">
        <f t="shared" si="5"/>
        <v/>
      </c>
      <c r="Z36" s="842"/>
      <c r="AA36" s="842"/>
      <c r="AB36" s="1016"/>
      <c r="AD36" s="508"/>
      <c r="AE36" s="320"/>
      <c r="AF36" s="320"/>
      <c r="AH36" s="852" t="str">
        <f t="shared" si="10"/>
        <v/>
      </c>
      <c r="AI36" s="948"/>
      <c r="AL36" s="326"/>
    </row>
    <row r="37" spans="2:38" ht="17" customHeight="1">
      <c r="B37" s="923" t="str">
        <f>IF(Recette!B32="","",Recette!B32)</f>
        <v/>
      </c>
      <c r="C37" s="924"/>
      <c r="D37" s="922" t="str">
        <f>IF(Recette!B31="","",Recette!B31)</f>
        <v/>
      </c>
      <c r="E37" s="922"/>
      <c r="F37" s="922"/>
      <c r="G37" s="922"/>
      <c r="H37" s="117">
        <f>IF(ISERROR(VLOOKUP(D37,'BDD Malt Beersmith'!A64:H79,8,0)*100),0,VLOOKUP(D37,'BDD Malt Beersmith'!A64:H79,8,0)*100)</f>
        <v>0</v>
      </c>
      <c r="I37" s="117" t="e">
        <f>VLOOKUP(D37,'BDD Malt Beersmith'!A64:H79,4,0)</f>
        <v>#N/A</v>
      </c>
      <c r="J37" s="596">
        <f>Recette!D31/Recette!$C$5*Batch!$K$2</f>
        <v>0</v>
      </c>
      <c r="K37" s="192">
        <f t="shared" si="11"/>
        <v>0</v>
      </c>
      <c r="L37" s="410" t="str">
        <f>IF(J37/J$43=0,"",J37/J$43)</f>
        <v/>
      </c>
      <c r="M37" s="444"/>
      <c r="N37" s="182"/>
      <c r="O37" s="175"/>
      <c r="P37" s="175">
        <f>IF(J37="","",(H37*J37/(K$2+J37)))</f>
        <v>0</v>
      </c>
      <c r="Q37" s="441"/>
      <c r="R37" s="441"/>
      <c r="S37" s="441"/>
      <c r="T37" s="441"/>
      <c r="U37" s="441"/>
      <c r="V37" s="183" t="str">
        <f t="shared" si="3"/>
        <v/>
      </c>
      <c r="W37" s="184">
        <f t="shared" si="6"/>
        <v>55.999999999999979</v>
      </c>
      <c r="X37" s="213" t="str">
        <f t="shared" si="4"/>
        <v/>
      </c>
      <c r="Y37" s="675" t="str">
        <f t="shared" si="5"/>
        <v/>
      </c>
      <c r="Z37" s="842"/>
      <c r="AA37" s="842"/>
      <c r="AB37" s="1016"/>
      <c r="AD37" s="509">
        <f>AD35/(AD24-1000)*(1+AE30-0.7655)</f>
        <v>1.1633823527057159</v>
      </c>
      <c r="AE37" s="320"/>
      <c r="AF37" s="320"/>
      <c r="AH37" s="852" t="str">
        <f t="shared" si="10"/>
        <v/>
      </c>
      <c r="AI37" s="948"/>
      <c r="AL37" s="326"/>
    </row>
    <row r="38" spans="2:38" ht="17" customHeight="1">
      <c r="B38" s="923"/>
      <c r="C38" s="924"/>
      <c r="D38" s="922" t="str">
        <f>IF(Recette!B32="","",Recette!B32)</f>
        <v/>
      </c>
      <c r="E38" s="922"/>
      <c r="F38" s="922"/>
      <c r="G38" s="922"/>
      <c r="H38" s="117">
        <f>IF(ISERROR(VLOOKUP(D38,'BDD Malt Beersmith'!A65:H80,8,0)*100),0,VLOOKUP(D38,'BDD Malt Beersmith'!A65:H80,8,0)*100)</f>
        <v>0</v>
      </c>
      <c r="I38" s="117">
        <v>0.1</v>
      </c>
      <c r="J38" s="596">
        <f>Recette!D32/Recette!$C$5*Batch!$K$2</f>
        <v>0</v>
      </c>
      <c r="K38" s="192">
        <f t="shared" si="11"/>
        <v>0</v>
      </c>
      <c r="L38" s="410" t="str">
        <f>IF(J38/J$43=0,"",J38/J$43)</f>
        <v/>
      </c>
      <c r="M38" s="444"/>
      <c r="N38" s="182"/>
      <c r="O38" s="175"/>
      <c r="P38" s="175">
        <f>IF(J38="","",(H38*J38/(K$2+J38)))</f>
        <v>0</v>
      </c>
      <c r="Q38" s="441"/>
      <c r="R38" s="441"/>
      <c r="S38" s="441"/>
      <c r="T38" s="441"/>
      <c r="U38" s="441"/>
      <c r="V38" s="183" t="str">
        <f t="shared" si="3"/>
        <v/>
      </c>
      <c r="W38" s="184">
        <f t="shared" si="6"/>
        <v>58.666666666666643</v>
      </c>
      <c r="X38" s="214" t="str">
        <f t="shared" si="4"/>
        <v/>
      </c>
      <c r="Y38" s="675" t="str">
        <f t="shared" si="5"/>
        <v/>
      </c>
      <c r="Z38" s="842"/>
      <c r="AA38" s="842"/>
      <c r="AB38" s="1016"/>
      <c r="AD38" s="508"/>
      <c r="AE38" s="320"/>
      <c r="AF38" s="320"/>
      <c r="AH38" s="852" t="str">
        <f t="shared" si="10"/>
        <v/>
      </c>
      <c r="AI38" s="948"/>
      <c r="AL38" s="326"/>
    </row>
    <row r="39" spans="2:38" ht="17" customHeight="1">
      <c r="B39" s="923"/>
      <c r="C39" s="924"/>
      <c r="D39" s="922" t="str">
        <f>IF(Recette!B33="","",Recette!B33)</f>
        <v/>
      </c>
      <c r="E39" s="922"/>
      <c r="F39" s="922"/>
      <c r="G39" s="922"/>
      <c r="H39" s="117">
        <f>IF(ISERROR(VLOOKUP(D39,'BDD Malt Beersmith'!A66:H81,8,0)*100),0,VLOOKUP(D39,'BDD Malt Beersmith'!A66:H81,8,0)*100)</f>
        <v>0</v>
      </c>
      <c r="I39" s="117">
        <v>0.1</v>
      </c>
      <c r="J39" s="596">
        <f>Recette!D33/Recette!$C$5*Batch!$K$2</f>
        <v>0</v>
      </c>
      <c r="K39" s="192">
        <f t="shared" si="11"/>
        <v>0</v>
      </c>
      <c r="L39" s="410" t="str">
        <f>IF(J39/J$43=0,"",J39/J$43)</f>
        <v/>
      </c>
      <c r="M39" s="444"/>
      <c r="N39" s="182"/>
      <c r="O39" s="175"/>
      <c r="P39" s="175">
        <f>IF(J39="","",(H39*J39/(K$2+J39)))</f>
        <v>0</v>
      </c>
      <c r="Q39" s="441"/>
      <c r="R39" s="441"/>
      <c r="S39" s="441"/>
      <c r="T39" s="441"/>
      <c r="U39" s="441"/>
      <c r="V39" s="183" t="str">
        <f t="shared" si="3"/>
        <v/>
      </c>
      <c r="W39" s="184">
        <f t="shared" si="6"/>
        <v>61.333333333333307</v>
      </c>
      <c r="X39" s="215" t="str">
        <f t="shared" si="4"/>
        <v/>
      </c>
      <c r="Y39" s="675" t="str">
        <f t="shared" si="5"/>
        <v/>
      </c>
      <c r="Z39" s="837" t="s">
        <v>163</v>
      </c>
      <c r="AA39" s="837"/>
      <c r="AB39" s="1017"/>
      <c r="AD39" s="508"/>
      <c r="AE39" s="320"/>
      <c r="AF39" s="320"/>
      <c r="AH39" s="852" t="str">
        <f t="shared" si="10"/>
        <v/>
      </c>
      <c r="AI39" s="948"/>
    </row>
    <row r="40" spans="2:38" ht="17" customHeight="1">
      <c r="B40" s="923"/>
      <c r="C40" s="924"/>
      <c r="D40" s="922" t="str">
        <f>IF(Recette!B34="","",Recette!B34)</f>
        <v/>
      </c>
      <c r="E40" s="922"/>
      <c r="F40" s="922"/>
      <c r="G40" s="922"/>
      <c r="H40" s="117">
        <f>IF(ISERROR(VLOOKUP(D40,'BDD Malt Beersmith'!A67:H82,8,0)*100),0,VLOOKUP(D40,'BDD Malt Beersmith'!A67:H82,8,0)*100)</f>
        <v>0</v>
      </c>
      <c r="I40" s="117">
        <v>0.1</v>
      </c>
      <c r="J40" s="596">
        <f>Recette!D34/Recette!$C$5*Batch!$K$2</f>
        <v>0</v>
      </c>
      <c r="K40" s="192">
        <f t="shared" si="11"/>
        <v>0</v>
      </c>
      <c r="L40" s="410" t="str">
        <f>IF(J40/J$43=0,"",J40/J$43)</f>
        <v/>
      </c>
      <c r="M40" s="444"/>
      <c r="N40" s="182"/>
      <c r="O40" s="175"/>
      <c r="P40" s="175">
        <f>IF(J40="","",(H40*J40/(K$2+J40)))</f>
        <v>0</v>
      </c>
      <c r="Q40" s="441"/>
      <c r="R40" s="441"/>
      <c r="S40" s="441"/>
      <c r="T40" s="441"/>
      <c r="U40" s="441"/>
      <c r="V40" s="183" t="str">
        <f t="shared" si="3"/>
        <v/>
      </c>
      <c r="W40" s="184">
        <f t="shared" si="6"/>
        <v>63.999999999999972</v>
      </c>
      <c r="X40" s="216" t="str">
        <f t="shared" si="4"/>
        <v/>
      </c>
      <c r="Y40" s="675" t="str">
        <f t="shared" si="5"/>
        <v/>
      </c>
      <c r="Z40" s="842"/>
      <c r="AA40" s="842"/>
      <c r="AB40" s="1016"/>
      <c r="AD40" s="508"/>
      <c r="AF40" s="320"/>
      <c r="AH40" s="852" t="str">
        <f t="shared" si="10"/>
        <v/>
      </c>
      <c r="AI40" s="948"/>
    </row>
    <row r="41" spans="2:38" ht="17" customHeight="1">
      <c r="B41" s="925"/>
      <c r="C41" s="926"/>
      <c r="D41" s="922" t="str">
        <f>IF(Recette!B35="","",Recette!B35)</f>
        <v/>
      </c>
      <c r="E41" s="922"/>
      <c r="F41" s="922"/>
      <c r="G41" s="922"/>
      <c r="H41" s="117">
        <f>IF(ISERROR(VLOOKUP(D41,'BDD Malt Beersmith'!A68:H83,8,0)*100),0,VLOOKUP(D41,'BDD Malt Beersmith'!A68:H83,8,0)*100)</f>
        <v>0</v>
      </c>
      <c r="I41" s="117">
        <v>9000</v>
      </c>
      <c r="J41" s="596">
        <f>Recette!D35/Recette!$C$5*Batch!$K$2</f>
        <v>0</v>
      </c>
      <c r="K41" s="192">
        <f t="shared" si="11"/>
        <v>0</v>
      </c>
      <c r="L41" s="410" t="str">
        <f>IF(J41/J$43=0,"",J41/J$43)</f>
        <v/>
      </c>
      <c r="M41" s="444"/>
      <c r="N41" s="182"/>
      <c r="O41" s="175"/>
      <c r="P41" s="175">
        <f>IF(J41="","",(H41*J41/(K$2+J41)))</f>
        <v>0</v>
      </c>
      <c r="Q41" s="441"/>
      <c r="R41" s="441"/>
      <c r="S41" s="441"/>
      <c r="T41" s="441"/>
      <c r="U41" s="441"/>
      <c r="V41" s="183" t="str">
        <f t="shared" si="3"/>
        <v/>
      </c>
      <c r="W41" s="184">
        <f t="shared" si="6"/>
        <v>66.666666666666643</v>
      </c>
      <c r="X41" s="217" t="str">
        <f t="shared" si="4"/>
        <v/>
      </c>
      <c r="Y41" s="675" t="str">
        <f t="shared" si="5"/>
        <v/>
      </c>
      <c r="Z41" s="842"/>
      <c r="AA41" s="842"/>
      <c r="AB41" s="1016"/>
      <c r="AD41" s="508"/>
      <c r="AF41" s="320"/>
      <c r="AH41" s="852" t="str">
        <f t="shared" si="10"/>
        <v/>
      </c>
      <c r="AI41" s="948"/>
    </row>
    <row r="42" spans="2:38" ht="17" customHeight="1">
      <c r="B42" s="927" t="s">
        <v>184</v>
      </c>
      <c r="C42" s="928"/>
      <c r="D42" s="928"/>
      <c r="E42" s="928"/>
      <c r="F42" s="928"/>
      <c r="G42" s="928"/>
      <c r="H42" s="928"/>
      <c r="I42" s="929"/>
      <c r="J42" s="419">
        <f>SUM(J37:J41)</f>
        <v>0</v>
      </c>
      <c r="K42" s="192">
        <f t="shared" si="11"/>
        <v>0</v>
      </c>
      <c r="L42" s="411">
        <f>J42/J43</f>
        <v>0</v>
      </c>
      <c r="M42" s="444"/>
      <c r="N42" s="182"/>
      <c r="O42" s="441"/>
      <c r="P42" s="441"/>
      <c r="Q42" s="441"/>
      <c r="R42" s="441"/>
      <c r="S42" s="441"/>
      <c r="T42" s="441"/>
      <c r="U42" s="441"/>
      <c r="V42" s="183" t="str">
        <f t="shared" si="3"/>
        <v/>
      </c>
      <c r="W42" s="184">
        <f t="shared" si="6"/>
        <v>69.333333333333314</v>
      </c>
      <c r="X42" s="218" t="str">
        <f t="shared" si="4"/>
        <v/>
      </c>
      <c r="Y42" s="675" t="str">
        <f t="shared" si="5"/>
        <v/>
      </c>
      <c r="Z42" s="837" t="s">
        <v>174</v>
      </c>
      <c r="AA42" s="837"/>
      <c r="AB42" s="1017"/>
      <c r="AD42" s="328"/>
      <c r="AF42" s="320"/>
      <c r="AH42" s="852" t="str">
        <f t="shared" si="10"/>
        <v/>
      </c>
      <c r="AI42" s="948"/>
    </row>
    <row r="43" spans="2:38" ht="17" customHeight="1" thickBot="1">
      <c r="B43" s="930" t="s">
        <v>1160</v>
      </c>
      <c r="C43" s="931"/>
      <c r="D43" s="931"/>
      <c r="E43" s="931"/>
      <c r="F43" s="931"/>
      <c r="G43" s="931"/>
      <c r="H43" s="931"/>
      <c r="I43" s="932"/>
      <c r="J43" s="420">
        <f>SUM(J36:J41)</f>
        <v>1.8</v>
      </c>
      <c r="K43" s="337">
        <f>(SUM(K21:K35,K37:K41)+1000)</f>
        <v>1045.2983562500001</v>
      </c>
      <c r="L43" s="412">
        <f>L36+L42</f>
        <v>1</v>
      </c>
      <c r="M43" s="444"/>
      <c r="N43" s="182"/>
      <c r="O43" s="441">
        <f>ROUND(IF(K43&gt;1000,MROUND(258.6*((K43/1000)-1)/(0.12+(0.88*(K43/1000))),0.5),MROUND(258.6*(K43-1)/(0.12+(0.88*K43)),0.5)),1)</f>
        <v>11.5</v>
      </c>
      <c r="P43" s="175" t="e">
        <f>SUM(P21:P42)</f>
        <v>#VALUE!</v>
      </c>
      <c r="Q43" s="441"/>
      <c r="R43" s="441"/>
      <c r="S43" s="441"/>
      <c r="T43" s="441"/>
      <c r="U43" s="441"/>
      <c r="V43" s="183" t="str">
        <f t="shared" si="3"/>
        <v/>
      </c>
      <c r="W43" s="184">
        <f>W42+(80/30)</f>
        <v>71.999999999999986</v>
      </c>
      <c r="X43" s="220" t="str">
        <f t="shared" si="4"/>
        <v/>
      </c>
      <c r="Y43" s="675" t="str">
        <f t="shared" si="5"/>
        <v/>
      </c>
      <c r="Z43" s="842"/>
      <c r="AA43" s="842"/>
      <c r="AB43" s="1016"/>
      <c r="AD43" s="510"/>
      <c r="AF43" s="320"/>
      <c r="AH43" s="963">
        <f>SUM(AH21:AH41)+(1.5*(E74/60))</f>
        <v>33.157666666666664</v>
      </c>
      <c r="AI43" s="964"/>
    </row>
    <row r="44" spans="2:38" ht="17" customHeight="1" thickBot="1">
      <c r="B44" s="448"/>
      <c r="C44" s="448"/>
      <c r="D44" s="448"/>
      <c r="E44" s="448"/>
      <c r="F44" s="448"/>
      <c r="G44" s="444"/>
      <c r="H44" s="999" t="s">
        <v>185</v>
      </c>
      <c r="I44" s="1000"/>
      <c r="J44" s="1001"/>
      <c r="K44" s="418">
        <f>G12</f>
        <v>1.0587146213383729E-2</v>
      </c>
      <c r="L44" s="444"/>
      <c r="M44" s="444"/>
      <c r="N44" s="182"/>
      <c r="O44" s="441"/>
      <c r="P44" s="441"/>
      <c r="Q44" s="441"/>
      <c r="R44" s="441"/>
      <c r="S44" s="441"/>
      <c r="T44" s="441"/>
      <c r="U44" s="441"/>
      <c r="V44" s="183" t="str">
        <f t="shared" si="3"/>
        <v/>
      </c>
      <c r="W44" s="184">
        <f>W43+(80/30)</f>
        <v>74.666666666666657</v>
      </c>
      <c r="X44" s="221" t="str">
        <f t="shared" si="4"/>
        <v/>
      </c>
      <c r="Y44" s="675" t="str">
        <f t="shared" si="5"/>
        <v/>
      </c>
      <c r="Z44" s="842"/>
      <c r="AA44" s="842"/>
      <c r="AB44" s="1016"/>
      <c r="AD44" s="510"/>
      <c r="AE44" s="320"/>
    </row>
    <row r="45" spans="2:38" ht="17" customHeight="1">
      <c r="B45" s="444"/>
      <c r="C45" s="444"/>
      <c r="D45" s="444"/>
      <c r="E45" s="444"/>
      <c r="F45" s="444"/>
      <c r="G45" s="222"/>
      <c r="H45" s="223"/>
      <c r="I45" s="224"/>
      <c r="J45" s="225"/>
      <c r="K45" s="444"/>
      <c r="L45" s="444"/>
      <c r="M45" s="444"/>
      <c r="N45" s="182"/>
      <c r="O45" s="441"/>
      <c r="P45" s="441"/>
      <c r="Q45" s="441"/>
      <c r="R45" s="441"/>
      <c r="S45" s="441"/>
      <c r="T45" s="441"/>
      <c r="U45" s="441"/>
      <c r="V45" s="183" t="str">
        <f t="shared" si="3"/>
        <v/>
      </c>
      <c r="W45" s="184">
        <f>W44+(80/30)</f>
        <v>77.333333333333329</v>
      </c>
      <c r="X45" s="226" t="str">
        <f t="shared" si="4"/>
        <v/>
      </c>
      <c r="Y45" s="675" t="str">
        <f t="shared" si="5"/>
        <v/>
      </c>
      <c r="Z45" s="842"/>
      <c r="AA45" s="842"/>
      <c r="AB45" s="1016"/>
      <c r="AE45" s="320"/>
    </row>
    <row r="46" spans="2:38" ht="17" customHeight="1" thickBot="1">
      <c r="C46" s="227"/>
      <c r="D46" s="511"/>
      <c r="E46" s="444"/>
      <c r="F46" s="444"/>
      <c r="G46" s="222"/>
      <c r="H46" s="444"/>
      <c r="I46" s="444"/>
      <c r="J46" s="444"/>
      <c r="K46" s="444"/>
      <c r="L46" s="444"/>
      <c r="M46" s="228"/>
      <c r="N46" s="182"/>
      <c r="O46" s="441"/>
      <c r="P46" s="441"/>
      <c r="Q46" s="441"/>
      <c r="R46" s="441"/>
      <c r="S46" s="441"/>
      <c r="T46" s="441"/>
      <c r="U46" s="441"/>
      <c r="V46" s="183" t="str">
        <f>IF($AH$43&gt;W46,"–","")</f>
        <v/>
      </c>
      <c r="W46" s="184">
        <f>W45+(80/30)</f>
        <v>80</v>
      </c>
      <c r="X46" s="229" t="str">
        <f t="shared" si="4"/>
        <v/>
      </c>
      <c r="Y46" s="675" t="str">
        <f>IF($AH$43&gt;W45,"–","")</f>
        <v/>
      </c>
      <c r="Z46" s="837" t="s">
        <v>164</v>
      </c>
      <c r="AA46" s="837"/>
      <c r="AB46" s="1017"/>
      <c r="AE46" s="320"/>
    </row>
    <row r="47" spans="2:38" ht="17" customHeight="1" thickBot="1">
      <c r="B47" s="222"/>
      <c r="C47" s="953" t="s">
        <v>379</v>
      </c>
      <c r="D47" s="954"/>
      <c r="E47" s="953" t="s">
        <v>381</v>
      </c>
      <c r="F47" s="954"/>
      <c r="G47" s="443"/>
      <c r="H47" s="444"/>
      <c r="I47" s="444"/>
      <c r="J47" s="444"/>
      <c r="K47" s="444"/>
      <c r="L47" s="444"/>
      <c r="M47" s="228"/>
      <c r="N47" s="230"/>
      <c r="O47" s="231"/>
      <c r="P47" s="231"/>
      <c r="Q47" s="231"/>
      <c r="R47" s="231"/>
      <c r="S47" s="231"/>
      <c r="T47" s="231"/>
      <c r="U47" s="231"/>
      <c r="V47" s="231"/>
      <c r="W47" s="231"/>
      <c r="X47" s="232"/>
      <c r="Y47" s="455"/>
      <c r="Z47" s="965"/>
      <c r="AA47" s="965"/>
      <c r="AB47" s="966"/>
      <c r="AD47" s="327"/>
      <c r="AE47" s="326"/>
      <c r="AL47" s="332"/>
    </row>
    <row r="48" spans="2:38" ht="17" customHeight="1">
      <c r="B48" s="233" t="s">
        <v>14</v>
      </c>
      <c r="C48" s="142">
        <v>5</v>
      </c>
      <c r="D48" s="234" t="str">
        <f>"à "&amp;ROUND(0.41/(C48/J43)*(D70-K3)+D70,0)&amp;"°"</f>
        <v>à 80°</v>
      </c>
      <c r="E48" s="111">
        <f>K2+((E74/30)+(J36*0.65)-E49)</f>
        <v>4.5033333333333339</v>
      </c>
      <c r="F48" s="235" t="str">
        <f>"à "&amp;ROUND(0.41/(E48/J43)*(D70-K3)+D70,0)&amp;"°"</f>
        <v>à 81°</v>
      </c>
      <c r="G48" s="236">
        <f>2.5*J36</f>
        <v>4.5</v>
      </c>
      <c r="H48" s="236">
        <f>3*J36</f>
        <v>5.4</v>
      </c>
      <c r="I48" s="237">
        <f>J36*3.5</f>
        <v>6.3</v>
      </c>
      <c r="J48" s="444"/>
      <c r="K48" s="444"/>
      <c r="L48" s="444"/>
      <c r="M48" s="183"/>
      <c r="N48" s="441"/>
      <c r="O48" s="441"/>
      <c r="P48" s="441"/>
      <c r="Q48" s="441"/>
      <c r="R48" s="441"/>
      <c r="S48" s="441"/>
      <c r="T48" s="441"/>
      <c r="U48" s="441"/>
      <c r="V48" s="183"/>
      <c r="W48" s="238"/>
      <c r="X48" s="239"/>
      <c r="Y48" s="439"/>
      <c r="Z48" s="438"/>
      <c r="AA48" s="438"/>
      <c r="AB48" s="441"/>
      <c r="AL48" s="333"/>
    </row>
    <row r="49" spans="2:37" ht="17" customHeight="1" thickBot="1">
      <c r="B49" s="240" t="s">
        <v>15</v>
      </c>
      <c r="C49" s="241">
        <f>K2+((E74/30)+(J36*0.65)-C48)</f>
        <v>10.003333333333334</v>
      </c>
      <c r="D49" s="242" t="s">
        <v>380</v>
      </c>
      <c r="E49" s="112">
        <v>10.5</v>
      </c>
      <c r="F49" s="243" t="s">
        <v>380</v>
      </c>
      <c r="G49" s="244" t="s">
        <v>7</v>
      </c>
      <c r="H49" s="244" t="s">
        <v>8</v>
      </c>
      <c r="I49" s="245" t="s">
        <v>6</v>
      </c>
      <c r="J49" s="444"/>
      <c r="K49" s="444"/>
      <c r="L49" s="444"/>
      <c r="M49" s="183"/>
      <c r="N49" s="441"/>
      <c r="O49" s="441"/>
      <c r="P49" s="441"/>
      <c r="Q49" s="441"/>
      <c r="R49" s="441"/>
      <c r="S49" s="441"/>
      <c r="T49" s="441"/>
      <c r="U49" s="441"/>
      <c r="V49" s="183"/>
      <c r="W49" s="238"/>
      <c r="X49" s="239"/>
      <c r="Y49" s="439"/>
      <c r="Z49" s="438"/>
      <c r="AA49" s="438"/>
      <c r="AB49" s="441"/>
    </row>
    <row r="50" spans="2:37" ht="17" customHeight="1" thickBot="1">
      <c r="B50" s="227"/>
      <c r="C50" s="227"/>
      <c r="D50" s="444"/>
      <c r="E50" s="444"/>
      <c r="F50" s="444"/>
      <c r="G50" s="222"/>
      <c r="H50" s="444"/>
      <c r="I50" s="444"/>
      <c r="J50" s="444"/>
      <c r="K50" s="444"/>
      <c r="L50" s="444"/>
      <c r="M50" s="183"/>
      <c r="N50" s="441"/>
      <c r="O50" s="441"/>
      <c r="P50" s="441"/>
      <c r="Q50" s="441"/>
      <c r="R50" s="441"/>
      <c r="S50" s="441"/>
      <c r="T50" s="441"/>
      <c r="U50" s="441"/>
      <c r="V50" s="183"/>
      <c r="W50" s="238"/>
      <c r="X50" s="239"/>
      <c r="Y50" s="439"/>
      <c r="Z50" s="438"/>
      <c r="AA50" s="438"/>
      <c r="AB50" s="441"/>
    </row>
    <row r="51" spans="2:37" ht="17" customHeight="1">
      <c r="B51" s="444"/>
      <c r="C51" s="444"/>
      <c r="D51" s="444"/>
      <c r="E51" s="246" t="s">
        <v>837</v>
      </c>
      <c r="F51" s="247" t="s">
        <v>838</v>
      </c>
      <c r="G51" s="247" t="s">
        <v>841</v>
      </c>
      <c r="H51" s="247" t="s">
        <v>844</v>
      </c>
      <c r="I51" s="247" t="s">
        <v>847</v>
      </c>
      <c r="J51" s="458" t="s">
        <v>848</v>
      </c>
      <c r="K51" s="1018"/>
      <c r="L51" s="1019"/>
      <c r="M51" s="443"/>
      <c r="N51" s="177"/>
      <c r="O51" s="178"/>
      <c r="P51" s="248"/>
      <c r="Q51" s="248"/>
      <c r="R51" s="248"/>
      <c r="S51" s="248"/>
      <c r="T51" s="248"/>
      <c r="U51" s="248"/>
      <c r="V51" s="248"/>
      <c r="W51" s="248"/>
      <c r="X51" s="248"/>
      <c r="Y51" s="178"/>
      <c r="Z51" s="178"/>
      <c r="AA51" s="249"/>
      <c r="AB51" s="250"/>
    </row>
    <row r="52" spans="2:37" ht="17" customHeight="1" thickBot="1">
      <c r="B52" s="444"/>
      <c r="C52" s="444"/>
      <c r="D52" s="444"/>
      <c r="E52" s="75" t="s">
        <v>840</v>
      </c>
      <c r="F52" s="466" t="s">
        <v>839</v>
      </c>
      <c r="G52" s="466" t="s">
        <v>842</v>
      </c>
      <c r="H52" s="251" t="s">
        <v>845</v>
      </c>
      <c r="I52" s="251" t="s">
        <v>846</v>
      </c>
      <c r="J52" s="460" t="s">
        <v>843</v>
      </c>
      <c r="K52" s="987" t="s">
        <v>1071</v>
      </c>
      <c r="L52" s="988"/>
      <c r="M52" s="441"/>
      <c r="N52" s="971" t="s">
        <v>1067</v>
      </c>
      <c r="O52" s="972"/>
      <c r="P52" s="972"/>
      <c r="Q52" s="972"/>
      <c r="R52" s="972"/>
      <c r="S52" s="972"/>
      <c r="T52" s="972"/>
      <c r="U52" s="972"/>
      <c r="V52" s="972"/>
      <c r="W52" s="972"/>
      <c r="X52" s="972"/>
      <c r="Y52" s="252">
        <f>J62/61-(((E62/20)/3.5)+((F62/12.15)/7))</f>
        <v>0.26558122030435349</v>
      </c>
      <c r="Z52" s="253">
        <f>Y52/0.02</f>
        <v>13.279061015217675</v>
      </c>
      <c r="AA52" s="443" t="str">
        <f>ROUND((1.97*P52*50*0.082+5.2)*0.6,0)&amp;" - "&amp;ROUND(((1.97*P52*50+122.4)/12.2)*0.6,0)&amp;" EBC"</f>
        <v>3 - 6 EBC</v>
      </c>
      <c r="AB52" s="254"/>
    </row>
    <row r="53" spans="2:37" ht="17" customHeight="1" thickBot="1">
      <c r="B53" s="512"/>
      <c r="C53" s="513"/>
      <c r="D53" s="514">
        <f>ROUND(SUM(E48:E49),1)</f>
        <v>15</v>
      </c>
      <c r="E53" s="256" t="s">
        <v>849</v>
      </c>
      <c r="F53" s="257" t="s">
        <v>850</v>
      </c>
      <c r="G53" s="257" t="s">
        <v>851</v>
      </c>
      <c r="H53" s="257" t="s">
        <v>852</v>
      </c>
      <c r="I53" s="257" t="s">
        <v>853</v>
      </c>
      <c r="J53" s="461" t="s">
        <v>853</v>
      </c>
      <c r="K53" s="989"/>
      <c r="L53" s="990"/>
      <c r="M53" s="441"/>
      <c r="N53" s="971" t="s">
        <v>1068</v>
      </c>
      <c r="O53" s="972"/>
      <c r="P53" s="972"/>
      <c r="Q53" s="972"/>
      <c r="R53" s="972"/>
      <c r="S53" s="972"/>
      <c r="T53" s="972"/>
      <c r="U53" s="972"/>
      <c r="V53" s="972"/>
      <c r="W53" s="972"/>
      <c r="X53" s="972"/>
      <c r="Y53" s="440">
        <f>H62/I62</f>
        <v>1.1419439649981937</v>
      </c>
      <c r="Z53" s="1040" t="str">
        <f>VLOOKUP(Y53,BDD!D74:E84,2,1)</f>
        <v>Equilibré</v>
      </c>
      <c r="AA53" s="1040"/>
      <c r="AB53" s="254"/>
    </row>
    <row r="54" spans="2:37" ht="17" customHeight="1">
      <c r="B54" s="515">
        <f>D53-B55</f>
        <v>15</v>
      </c>
      <c r="C54" s="290" t="s">
        <v>854</v>
      </c>
      <c r="D54" s="516">
        <f>B54/D53</f>
        <v>1</v>
      </c>
      <c r="E54" s="140">
        <v>61.7</v>
      </c>
      <c r="F54" s="141">
        <v>10.1</v>
      </c>
      <c r="G54" s="141">
        <v>4.5999999999999996</v>
      </c>
      <c r="H54" s="141">
        <v>58</v>
      </c>
      <c r="I54" s="141">
        <v>3.2</v>
      </c>
      <c r="J54" s="153">
        <v>145</v>
      </c>
      <c r="K54" s="991">
        <f>(J54/61-(((E54/20)/3.5)+((F54/12.15)/7)))/0.02</f>
        <v>68.843346729503381</v>
      </c>
      <c r="L54" s="992"/>
      <c r="M54" s="441"/>
      <c r="N54" s="463"/>
      <c r="O54" s="464" t="s">
        <v>1168</v>
      </c>
      <c r="P54" s="464">
        <f>(P55-Q55)/5*3</f>
        <v>53.483606557377044</v>
      </c>
      <c r="Q54" s="564">
        <f>E54-P54</f>
        <v>8.2163934426229588</v>
      </c>
      <c r="R54" s="464"/>
      <c r="S54" s="464"/>
      <c r="T54" s="464"/>
      <c r="U54" s="464"/>
      <c r="V54" s="464"/>
      <c r="W54" s="565"/>
      <c r="X54" s="553" t="s">
        <v>1072</v>
      </c>
      <c r="Y54" s="556">
        <v>5.2</v>
      </c>
      <c r="Z54" s="883" t="str">
        <f>IF(Y54&lt;5.2,"Malts grillés plus âcres, moins de corps, amertume moins forte",IF(Y54&gt;5.5,"Goût de malt moins prononcé, bière plus sombre qu’attendu, amertume plus agressive","Optimal"))</f>
        <v>Optimal</v>
      </c>
      <c r="AA54" s="883"/>
      <c r="AB54" s="884"/>
    </row>
    <row r="55" spans="2:37" ht="17" customHeight="1">
      <c r="B55" s="364">
        <v>0</v>
      </c>
      <c r="C55" s="517" t="s">
        <v>855</v>
      </c>
      <c r="D55" s="518">
        <f>B55/D53</f>
        <v>0</v>
      </c>
      <c r="E55" s="258">
        <v>0</v>
      </c>
      <c r="F55" s="164">
        <v>0</v>
      </c>
      <c r="G55" s="164">
        <v>0</v>
      </c>
      <c r="H55" s="164">
        <v>0</v>
      </c>
      <c r="I55" s="164">
        <v>0</v>
      </c>
      <c r="J55" s="259">
        <v>0</v>
      </c>
      <c r="K55" s="993"/>
      <c r="L55" s="994"/>
      <c r="M55" s="441"/>
      <c r="N55" s="463"/>
      <c r="O55" s="565" t="s">
        <v>1169</v>
      </c>
      <c r="P55" s="566">
        <f>J54/1.22</f>
        <v>118.85245901639344</v>
      </c>
      <c r="Q55" s="566">
        <f>P55*0.25</f>
        <v>29.71311475409836</v>
      </c>
      <c r="R55" s="567">
        <f>D54-T55</f>
        <v>1</v>
      </c>
      <c r="S55" s="568">
        <f>D55</f>
        <v>0</v>
      </c>
      <c r="T55" s="568">
        <f>D54*D62</f>
        <v>0</v>
      </c>
      <c r="U55" s="565"/>
      <c r="V55" s="464"/>
      <c r="W55" s="569"/>
      <c r="X55" s="569"/>
      <c r="Y55" s="552"/>
      <c r="Z55" s="883"/>
      <c r="AA55" s="883"/>
      <c r="AB55" s="884"/>
      <c r="AD55" s="155">
        <f>(0.25*J36*(Y56-Y54))*10</f>
        <v>3.5999999999999992</v>
      </c>
      <c r="AE55" s="155">
        <f>(0.42*J36*(Y56-Y54))*10</f>
        <v>6.0479999999999992</v>
      </c>
      <c r="AG55" s="882" t="s">
        <v>2895</v>
      </c>
      <c r="AH55" s="882"/>
      <c r="AJ55" s="881" t="s">
        <v>2896</v>
      </c>
      <c r="AK55" s="881"/>
    </row>
    <row r="56" spans="2:37" ht="17" customHeight="1">
      <c r="B56" s="933" t="s">
        <v>856</v>
      </c>
      <c r="C56" s="934"/>
      <c r="D56" s="314">
        <v>1.5</v>
      </c>
      <c r="E56" s="261">
        <f>D56*232.8/D53</f>
        <v>23.280000000000005</v>
      </c>
      <c r="F56" s="262"/>
      <c r="G56" s="262"/>
      <c r="H56" s="263">
        <f>D56*557.97/D53</f>
        <v>55.797000000000004</v>
      </c>
      <c r="I56" s="262"/>
      <c r="J56" s="264"/>
      <c r="K56" s="995"/>
      <c r="L56" s="996"/>
      <c r="M56" s="444"/>
      <c r="N56" s="463"/>
      <c r="O56" s="464"/>
      <c r="P56" s="464"/>
      <c r="Q56" s="464"/>
      <c r="R56" s="464" t="s">
        <v>1170</v>
      </c>
      <c r="S56" s="464" t="s">
        <v>1171</v>
      </c>
      <c r="T56" s="464" t="s">
        <v>1172</v>
      </c>
      <c r="U56" s="464"/>
      <c r="V56" s="464"/>
      <c r="W56" s="570"/>
      <c r="X56" s="448" t="s">
        <v>1069</v>
      </c>
      <c r="Y56" s="467">
        <v>6</v>
      </c>
      <c r="Z56" s="441"/>
      <c r="AA56" s="555"/>
      <c r="AB56" s="265"/>
      <c r="AG56" s="882" t="s">
        <v>23</v>
      </c>
      <c r="AH56" s="882"/>
      <c r="AJ56" s="881" t="s">
        <v>20</v>
      </c>
      <c r="AK56" s="881"/>
    </row>
    <row r="57" spans="2:37" ht="17" customHeight="1">
      <c r="B57" s="933" t="s">
        <v>857</v>
      </c>
      <c r="C57" s="934"/>
      <c r="D57" s="314">
        <v>0</v>
      </c>
      <c r="E57" s="266"/>
      <c r="F57" s="262"/>
      <c r="G57" s="263">
        <f>D57*393.3/D53</f>
        <v>0</v>
      </c>
      <c r="H57" s="262"/>
      <c r="I57" s="263">
        <f>D57*624.59/D53</f>
        <v>0</v>
      </c>
      <c r="J57" s="264"/>
      <c r="K57" s="967"/>
      <c r="L57" s="968"/>
      <c r="M57" s="444"/>
      <c r="N57" s="554"/>
      <c r="O57" s="282"/>
      <c r="P57" s="282"/>
      <c r="Q57" s="282"/>
      <c r="R57" s="282"/>
      <c r="S57" s="282"/>
      <c r="T57" s="282"/>
      <c r="U57" s="282"/>
      <c r="V57" s="282"/>
      <c r="W57" s="557"/>
      <c r="X57" s="260" t="s">
        <v>2894</v>
      </c>
      <c r="Y57" s="465" t="str">
        <f>IF(OR(Y56="",Y54=""),"",ROUND(AD55,1)&amp;" - "&amp;ROUND(AE55,1)&amp;" ml")</f>
        <v>3.6 - 6 ml</v>
      </c>
      <c r="Z57" s="558"/>
      <c r="AA57" s="558"/>
      <c r="AB57" s="265"/>
      <c r="AG57" s="882" t="s">
        <v>22</v>
      </c>
      <c r="AH57" s="882"/>
      <c r="AJ57" s="881" t="s">
        <v>21</v>
      </c>
      <c r="AK57" s="881"/>
    </row>
    <row r="58" spans="2:37" ht="17" customHeight="1" thickBot="1">
      <c r="B58" s="933" t="s">
        <v>858</v>
      </c>
      <c r="C58" s="934"/>
      <c r="D58" s="314">
        <v>0</v>
      </c>
      <c r="E58" s="267"/>
      <c r="F58" s="263">
        <f>D58*98.8/D53</f>
        <v>0</v>
      </c>
      <c r="G58" s="262"/>
      <c r="H58" s="263">
        <f>D58*389.9/D53</f>
        <v>0</v>
      </c>
      <c r="I58" s="262"/>
      <c r="J58" s="264"/>
      <c r="K58" s="967"/>
      <c r="L58" s="968"/>
      <c r="M58" s="268"/>
      <c r="N58" s="559"/>
      <c r="O58" s="560"/>
      <c r="P58" s="560"/>
      <c r="Q58" s="560"/>
      <c r="R58" s="560"/>
      <c r="S58" s="560"/>
      <c r="T58" s="560"/>
      <c r="U58" s="560"/>
      <c r="V58" s="560"/>
      <c r="W58" s="561"/>
      <c r="X58" s="561"/>
      <c r="Y58" s="571"/>
      <c r="Z58" s="562"/>
      <c r="AA58" s="562"/>
      <c r="AB58" s="563"/>
    </row>
    <row r="59" spans="2:37" ht="17" customHeight="1">
      <c r="B59" s="933" t="s">
        <v>859</v>
      </c>
      <c r="C59" s="934"/>
      <c r="D59" s="314">
        <v>3</v>
      </c>
      <c r="E59" s="261">
        <f>D59*272.55/D53</f>
        <v>54.510000000000005</v>
      </c>
      <c r="F59" s="262"/>
      <c r="G59" s="262"/>
      <c r="H59" s="262"/>
      <c r="I59" s="263">
        <f>D59*482.26/D53</f>
        <v>96.451999999999998</v>
      </c>
      <c r="J59" s="264"/>
      <c r="K59" s="967"/>
      <c r="L59" s="968"/>
      <c r="M59" s="268"/>
      <c r="N59" s="282"/>
      <c r="O59" s="282"/>
      <c r="P59" s="282"/>
      <c r="Q59" s="282"/>
      <c r="R59" s="282"/>
      <c r="S59" s="282"/>
      <c r="T59" s="282"/>
      <c r="U59" s="282"/>
      <c r="V59" s="282"/>
      <c r="W59" s="441"/>
      <c r="X59" s="441"/>
      <c r="Y59" s="441"/>
      <c r="Z59" s="441"/>
      <c r="AA59" s="555"/>
      <c r="AB59" s="441"/>
    </row>
    <row r="60" spans="2:37" ht="17" customHeight="1" thickBot="1">
      <c r="B60" s="933" t="s">
        <v>860</v>
      </c>
      <c r="C60" s="934"/>
      <c r="D60" s="314">
        <v>0</v>
      </c>
      <c r="E60" s="266"/>
      <c r="F60" s="262"/>
      <c r="G60" s="263">
        <f>D60*272.55/D53</f>
        <v>0</v>
      </c>
      <c r="H60" s="262"/>
      <c r="I60" s="262"/>
      <c r="J60" s="269">
        <f>D60*719.23/D53</f>
        <v>0</v>
      </c>
      <c r="K60" s="967"/>
      <c r="L60" s="968"/>
      <c r="M60" s="444"/>
      <c r="N60" s="277" t="s">
        <v>2951</v>
      </c>
      <c r="O60" s="441"/>
      <c r="P60" s="441"/>
      <c r="Q60" s="441"/>
      <c r="R60" s="441">
        <f>R55*E54</f>
        <v>61.7</v>
      </c>
      <c r="S60" s="441"/>
      <c r="T60" s="441"/>
      <c r="U60" s="441"/>
      <c r="V60" s="441"/>
      <c r="W60" s="555"/>
      <c r="X60" s="441"/>
      <c r="Y60" s="441"/>
      <c r="Z60" s="277" t="s">
        <v>2952</v>
      </c>
      <c r="AA60" s="441"/>
      <c r="AB60" s="441"/>
    </row>
    <row r="61" spans="2:37" ht="17" customHeight="1" thickBot="1">
      <c r="B61" s="918" t="s">
        <v>861</v>
      </c>
      <c r="C61" s="919"/>
      <c r="D61" s="315">
        <v>0</v>
      </c>
      <c r="E61" s="270">
        <f>D61*400.5/D53</f>
        <v>0</v>
      </c>
      <c r="F61" s="271"/>
      <c r="G61" s="271"/>
      <c r="H61" s="271"/>
      <c r="I61" s="271"/>
      <c r="J61" s="272">
        <f>D61*599.61/D53</f>
        <v>0</v>
      </c>
      <c r="K61" s="1046"/>
      <c r="L61" s="1047"/>
      <c r="M61" s="444"/>
      <c r="N61" s="890" t="str">
        <f>IF(Recette!I19="","",Recette!I19)</f>
        <v/>
      </c>
      <c r="O61" s="891"/>
      <c r="P61" s="891"/>
      <c r="Q61" s="891"/>
      <c r="R61" s="891"/>
      <c r="S61" s="891"/>
      <c r="T61" s="891"/>
      <c r="U61" s="891"/>
      <c r="V61" s="891"/>
      <c r="W61" s="891"/>
      <c r="X61" s="891"/>
      <c r="Y61" s="891"/>
      <c r="Z61" s="896" t="s">
        <v>2955</v>
      </c>
      <c r="AA61" s="897"/>
      <c r="AB61" s="898"/>
    </row>
    <row r="62" spans="2:37" ht="17" customHeight="1" thickBot="1">
      <c r="B62" s="983" t="str">
        <f>"Ebu. eau de base ("&amp;ROUND(D53*D54*D62,1)&amp;" lit.)"</f>
        <v>Ebu. eau de base (0 lit.)</v>
      </c>
      <c r="C62" s="984"/>
      <c r="D62" s="363">
        <v>0</v>
      </c>
      <c r="E62" s="274">
        <f>(E54*R55)+(E55*$S55)+(T55*Q54)+SUM(E56:E61)</f>
        <v>139.49</v>
      </c>
      <c r="F62" s="275">
        <f t="shared" ref="F62:I62" si="12">(F54*$D54)+(F55*$D55)+SUM(F56:F61)</f>
        <v>10.1</v>
      </c>
      <c r="G62" s="275">
        <f t="shared" si="12"/>
        <v>4.5999999999999996</v>
      </c>
      <c r="H62" s="275">
        <f t="shared" si="12"/>
        <v>113.797</v>
      </c>
      <c r="I62" s="275">
        <f t="shared" si="12"/>
        <v>99.652000000000001</v>
      </c>
      <c r="J62" s="276">
        <f>(J54*$R55)+(J55*$S55)+(T55*Q55)+SUM(J56:J61)</f>
        <v>145</v>
      </c>
      <c r="K62" s="1048">
        <f>(J62/61-(((E62/20)/3.5)+((F62/12.15)/7)))/0.02</f>
        <v>13.279061015217675</v>
      </c>
      <c r="L62" s="1049"/>
      <c r="M62" s="444"/>
      <c r="N62" s="892"/>
      <c r="O62" s="893"/>
      <c r="P62" s="893"/>
      <c r="Q62" s="893"/>
      <c r="R62" s="893"/>
      <c r="S62" s="893"/>
      <c r="T62" s="893"/>
      <c r="U62" s="893"/>
      <c r="V62" s="893"/>
      <c r="W62" s="893"/>
      <c r="X62" s="893"/>
      <c r="Y62" s="893"/>
      <c r="Z62" s="899"/>
      <c r="AA62" s="900"/>
      <c r="AB62" s="901"/>
    </row>
    <row r="63" spans="2:37" ht="17" customHeight="1" thickBot="1">
      <c r="B63" s="444"/>
      <c r="D63" s="278"/>
      <c r="E63" s="357"/>
      <c r="F63" s="357"/>
      <c r="G63" s="357"/>
      <c r="H63" s="358"/>
      <c r="I63" s="359"/>
      <c r="J63" s="360"/>
      <c r="K63" s="1041"/>
      <c r="L63" s="1042"/>
      <c r="M63" s="444"/>
      <c r="N63" s="892"/>
      <c r="O63" s="893"/>
      <c r="P63" s="893"/>
      <c r="Q63" s="893"/>
      <c r="R63" s="893"/>
      <c r="S63" s="893"/>
      <c r="T63" s="893"/>
      <c r="U63" s="893"/>
      <c r="V63" s="893"/>
      <c r="W63" s="893"/>
      <c r="X63" s="893"/>
      <c r="Y63" s="893"/>
      <c r="Z63" s="899"/>
      <c r="AA63" s="900"/>
      <c r="AB63" s="901"/>
    </row>
    <row r="64" spans="2:37" ht="17" customHeight="1" thickBot="1">
      <c r="B64" s="279" t="s">
        <v>1070</v>
      </c>
      <c r="C64" s="920" t="s">
        <v>1026</v>
      </c>
      <c r="D64" s="921"/>
      <c r="E64" s="280" t="str">
        <f t="shared" ref="E64:K64" si="13">E65&amp;" - "&amp;E66</f>
        <v>50 - 150</v>
      </c>
      <c r="F64" s="280" t="str">
        <f t="shared" si="13"/>
        <v>0 - 30</v>
      </c>
      <c r="G64" s="280" t="str">
        <f t="shared" si="13"/>
        <v>0 - 100</v>
      </c>
      <c r="H64" s="280" t="str">
        <f t="shared" si="13"/>
        <v>100 - 400</v>
      </c>
      <c r="I64" s="280" t="str">
        <f t="shared" si="13"/>
        <v>0 - 100</v>
      </c>
      <c r="J64" s="468" t="str">
        <f t="shared" si="13"/>
        <v>48.8 - 146.4</v>
      </c>
      <c r="K64" s="1043" t="str">
        <f t="shared" si="13"/>
        <v>-30 - 30</v>
      </c>
      <c r="L64" s="1044"/>
      <c r="M64" s="183"/>
      <c r="N64" s="892"/>
      <c r="O64" s="893"/>
      <c r="P64" s="893"/>
      <c r="Q64" s="893"/>
      <c r="R64" s="893"/>
      <c r="S64" s="893"/>
      <c r="T64" s="893"/>
      <c r="U64" s="893"/>
      <c r="V64" s="893"/>
      <c r="W64" s="893"/>
      <c r="X64" s="893"/>
      <c r="Y64" s="893"/>
      <c r="Z64" s="899"/>
      <c r="AA64" s="900"/>
      <c r="AB64" s="901"/>
    </row>
    <row r="65" spans="2:36" ht="17" hidden="1" customHeight="1">
      <c r="B65" s="273"/>
      <c r="D65" s="273" t="s">
        <v>1065</v>
      </c>
      <c r="E65" s="469">
        <f>VLOOKUP($C64,Waterprofile!$A$3:$Y$74,6,0)*1</f>
        <v>50</v>
      </c>
      <c r="F65" s="469">
        <f>VLOOKUP($C64,Waterprofile!$A$3:$Y$74,9,0)*1</f>
        <v>0</v>
      </c>
      <c r="G65" s="469">
        <f>VLOOKUP($C64,Waterprofile!$A$3:$Y$74,21,0)*1</f>
        <v>0</v>
      </c>
      <c r="H65" s="469">
        <f>VLOOKUP($C64,Waterprofile!$A$3:$Y$74,15,0)*1</f>
        <v>100</v>
      </c>
      <c r="I65" s="469">
        <f>VLOOKUP($C64,Waterprofile!$A$3:$Y$74,18,0)*1</f>
        <v>0</v>
      </c>
      <c r="J65" s="469">
        <f>VLOOKUP($C64,Waterprofile!$A$3:$Y$74,12,0)*1.22</f>
        <v>48.8</v>
      </c>
      <c r="K65" s="1045">
        <f>VLOOKUP($C64,Waterprofile!$A$3:$Y$74,24,0)*1</f>
        <v>-30</v>
      </c>
      <c r="L65" s="1045"/>
      <c r="N65" s="892"/>
      <c r="O65" s="893"/>
      <c r="P65" s="893"/>
      <c r="Q65" s="893"/>
      <c r="R65" s="893"/>
      <c r="S65" s="893"/>
      <c r="T65" s="893"/>
      <c r="U65" s="893"/>
      <c r="V65" s="893"/>
      <c r="W65" s="893"/>
      <c r="X65" s="893"/>
      <c r="Y65" s="893"/>
      <c r="Z65" s="899"/>
      <c r="AA65" s="900"/>
      <c r="AB65" s="901"/>
    </row>
    <row r="66" spans="2:36" ht="17" hidden="1" customHeight="1">
      <c r="B66" s="273"/>
      <c r="D66" s="273" t="s">
        <v>1066</v>
      </c>
      <c r="E66" s="469">
        <f>VLOOKUP($C64,Waterprofile!$A$3:$Y$74,7,0)*1</f>
        <v>150</v>
      </c>
      <c r="F66" s="469">
        <f>VLOOKUP($C64,Waterprofile!$A$3:$Y$74,10,0)*1</f>
        <v>30</v>
      </c>
      <c r="G66" s="469">
        <f>VLOOKUP($C64,Waterprofile!$A$3:$Y$74,22,0)*1</f>
        <v>100</v>
      </c>
      <c r="H66" s="469">
        <f>VLOOKUP($C64,Waterprofile!$A$3:$Y$74,16,0)*1</f>
        <v>400</v>
      </c>
      <c r="I66" s="469">
        <f>VLOOKUP($C64,Waterprofile!$A$3:$Y$74,19,0)*1</f>
        <v>100</v>
      </c>
      <c r="J66" s="469">
        <f>VLOOKUP($C64,Waterprofile!$A$3:$Y$74,13,0)*1.22</f>
        <v>146.4</v>
      </c>
      <c r="K66" s="1045">
        <f>VLOOKUP($C64,Waterprofile!$A$3:$Y$74,25,0)*1</f>
        <v>30</v>
      </c>
      <c r="L66" s="1045"/>
      <c r="N66" s="892"/>
      <c r="O66" s="893"/>
      <c r="P66" s="893"/>
      <c r="Q66" s="893"/>
      <c r="R66" s="893"/>
      <c r="S66" s="893"/>
      <c r="T66" s="893"/>
      <c r="U66" s="893"/>
      <c r="V66" s="893"/>
      <c r="W66" s="893"/>
      <c r="X66" s="893"/>
      <c r="Y66" s="893"/>
      <c r="Z66" s="899"/>
      <c r="AA66" s="900"/>
      <c r="AB66" s="901"/>
    </row>
    <row r="67" spans="2:36" ht="17" customHeight="1">
      <c r="B67" s="273"/>
      <c r="C67" s="281"/>
      <c r="D67" s="281"/>
      <c r="E67" s="361"/>
      <c r="F67" s="446"/>
      <c r="G67" s="446"/>
      <c r="H67" s="446"/>
      <c r="I67" s="446"/>
      <c r="J67" s="444"/>
      <c r="K67" s="446"/>
      <c r="L67" s="441"/>
      <c r="M67" s="282"/>
      <c r="N67" s="892"/>
      <c r="O67" s="893"/>
      <c r="P67" s="893"/>
      <c r="Q67" s="893"/>
      <c r="R67" s="893"/>
      <c r="S67" s="893"/>
      <c r="T67" s="893"/>
      <c r="U67" s="893"/>
      <c r="V67" s="893"/>
      <c r="W67" s="893"/>
      <c r="X67" s="893"/>
      <c r="Y67" s="893"/>
      <c r="Z67" s="899"/>
      <c r="AA67" s="900"/>
      <c r="AB67" s="901"/>
    </row>
    <row r="68" spans="2:36" ht="27" customHeight="1" thickBot="1">
      <c r="B68" s="227" t="s">
        <v>0</v>
      </c>
      <c r="C68" s="283"/>
      <c r="D68" s="341"/>
      <c r="E68" s="222"/>
      <c r="F68" s="222"/>
      <c r="G68" s="444"/>
      <c r="H68" s="444"/>
      <c r="I68" s="320"/>
      <c r="J68" s="444"/>
      <c r="K68" s="362"/>
      <c r="L68" s="362"/>
      <c r="M68" s="457"/>
      <c r="N68" s="892"/>
      <c r="O68" s="893"/>
      <c r="P68" s="893"/>
      <c r="Q68" s="893"/>
      <c r="R68" s="893"/>
      <c r="S68" s="893"/>
      <c r="T68" s="893"/>
      <c r="U68" s="893"/>
      <c r="V68" s="893"/>
      <c r="W68" s="893"/>
      <c r="X68" s="893"/>
      <c r="Y68" s="893"/>
      <c r="Z68" s="899"/>
      <c r="AA68" s="900"/>
      <c r="AB68" s="901"/>
    </row>
    <row r="69" spans="2:36" ht="17" customHeight="1" thickBot="1">
      <c r="B69" s="441"/>
      <c r="C69" s="161"/>
      <c r="D69" s="284" t="s">
        <v>188</v>
      </c>
      <c r="E69" s="285" t="s">
        <v>12</v>
      </c>
      <c r="F69" s="444"/>
      <c r="G69" s="444"/>
      <c r="H69" s="444"/>
      <c r="I69" s="444"/>
      <c r="J69" s="444"/>
      <c r="K69" s="444"/>
      <c r="M69" s="286"/>
      <c r="N69" s="892"/>
      <c r="O69" s="893"/>
      <c r="P69" s="893"/>
      <c r="Q69" s="893"/>
      <c r="R69" s="893"/>
      <c r="S69" s="893"/>
      <c r="T69" s="893"/>
      <c r="U69" s="893"/>
      <c r="V69" s="893"/>
      <c r="W69" s="893"/>
      <c r="X69" s="893"/>
      <c r="Y69" s="893"/>
      <c r="Z69" s="899"/>
      <c r="AA69" s="900"/>
      <c r="AB69" s="901"/>
    </row>
    <row r="70" spans="2:36" ht="17" customHeight="1">
      <c r="B70" s="444"/>
      <c r="C70" s="447" t="s">
        <v>9</v>
      </c>
      <c r="D70" s="597">
        <f>IF(Recette!D41="","",Recette!D41)</f>
        <v>72</v>
      </c>
      <c r="E70" s="598">
        <f>IF(Recette!E41="","",Recette!E41)</f>
        <v>45</v>
      </c>
      <c r="F70" s="444"/>
      <c r="G70" s="797" t="s">
        <v>160</v>
      </c>
      <c r="H70" s="909" t="s">
        <v>186</v>
      </c>
      <c r="I70" s="910"/>
      <c r="J70" s="287"/>
      <c r="K70" s="287"/>
      <c r="L70" s="286"/>
      <c r="M70" s="286"/>
      <c r="N70" s="892"/>
      <c r="O70" s="893"/>
      <c r="P70" s="893"/>
      <c r="Q70" s="893"/>
      <c r="R70" s="893"/>
      <c r="S70" s="893"/>
      <c r="T70" s="893"/>
      <c r="U70" s="893"/>
      <c r="V70" s="893"/>
      <c r="W70" s="893"/>
      <c r="X70" s="893"/>
      <c r="Y70" s="893"/>
      <c r="Z70" s="899"/>
      <c r="AA70" s="900"/>
      <c r="AB70" s="901"/>
    </row>
    <row r="71" spans="2:36" ht="17" customHeight="1">
      <c r="B71" s="444"/>
      <c r="C71" s="447" t="s">
        <v>10</v>
      </c>
      <c r="D71" s="597" t="str">
        <f>IF(Recette!D42="","",Recette!D42)</f>
        <v/>
      </c>
      <c r="E71" s="598" t="str">
        <f>IF(Recette!E42="","",Recette!E42)</f>
        <v/>
      </c>
      <c r="F71" s="444"/>
      <c r="G71" s="798"/>
      <c r="H71" s="911"/>
      <c r="I71" s="912"/>
      <c r="J71" s="287"/>
      <c r="K71" s="287"/>
      <c r="L71" s="286"/>
      <c r="M71" s="286"/>
      <c r="N71" s="892"/>
      <c r="O71" s="893"/>
      <c r="P71" s="893"/>
      <c r="Q71" s="893"/>
      <c r="R71" s="893"/>
      <c r="S71" s="893"/>
      <c r="T71" s="893"/>
      <c r="U71" s="893"/>
      <c r="V71" s="893"/>
      <c r="W71" s="893"/>
      <c r="X71" s="893"/>
      <c r="Y71" s="893"/>
      <c r="Z71" s="899"/>
      <c r="AA71" s="900"/>
      <c r="AB71" s="901"/>
    </row>
    <row r="72" spans="2:36" ht="17" customHeight="1">
      <c r="B72" s="444"/>
      <c r="C72" s="447" t="s">
        <v>11</v>
      </c>
      <c r="D72" s="597" t="str">
        <f>IF(Recette!D43="","",Recette!D43)</f>
        <v/>
      </c>
      <c r="E72" s="598" t="str">
        <f>IF(Recette!E43="","",Recette!E43)</f>
        <v/>
      </c>
      <c r="G72" s="798" t="s">
        <v>161</v>
      </c>
      <c r="H72" s="913" t="s">
        <v>187</v>
      </c>
      <c r="I72" s="914"/>
      <c r="J72" s="287"/>
      <c r="K72" s="287"/>
      <c r="L72" s="286"/>
      <c r="M72" s="286"/>
      <c r="N72" s="892"/>
      <c r="O72" s="893"/>
      <c r="P72" s="893"/>
      <c r="Q72" s="893"/>
      <c r="R72" s="893"/>
      <c r="S72" s="893"/>
      <c r="T72" s="893"/>
      <c r="U72" s="893"/>
      <c r="V72" s="893"/>
      <c r="W72" s="893"/>
      <c r="X72" s="893"/>
      <c r="Y72" s="893"/>
      <c r="Z72" s="899"/>
      <c r="AA72" s="900"/>
      <c r="AB72" s="901"/>
    </row>
    <row r="73" spans="2:36" ht="17" customHeight="1" thickBot="1">
      <c r="B73" s="444"/>
      <c r="C73" s="447" t="s">
        <v>13</v>
      </c>
      <c r="D73" s="597">
        <f>IF(Recette!D44="","",Recette!D44)</f>
        <v>76</v>
      </c>
      <c r="E73" s="598">
        <f>IF(Recette!E44="","",Recette!E44)</f>
        <v>10</v>
      </c>
      <c r="F73" s="444"/>
      <c r="G73" s="799"/>
      <c r="H73" s="915"/>
      <c r="I73" s="916"/>
      <c r="J73" s="287"/>
      <c r="K73" s="287"/>
      <c r="L73" s="286"/>
      <c r="M73" s="286"/>
      <c r="N73" s="892"/>
      <c r="O73" s="893"/>
      <c r="P73" s="893"/>
      <c r="Q73" s="893"/>
      <c r="R73" s="893"/>
      <c r="S73" s="893"/>
      <c r="T73" s="893"/>
      <c r="U73" s="893"/>
      <c r="V73" s="893"/>
      <c r="W73" s="893"/>
      <c r="X73" s="893"/>
      <c r="Y73" s="893"/>
      <c r="Z73" s="899"/>
      <c r="AA73" s="900"/>
      <c r="AB73" s="901"/>
      <c r="AJ73" s="519"/>
    </row>
    <row r="74" spans="2:36" ht="17" customHeight="1" thickBot="1">
      <c r="B74" s="444"/>
      <c r="C74" s="961" t="s">
        <v>5</v>
      </c>
      <c r="D74" s="962"/>
      <c r="E74" s="289">
        <f>SUM(E70:E73)</f>
        <v>55</v>
      </c>
      <c r="F74" s="288"/>
      <c r="G74" s="444"/>
      <c r="H74" s="444"/>
      <c r="I74" s="444"/>
      <c r="J74" s="444"/>
      <c r="K74" s="444"/>
      <c r="L74" s="286"/>
      <c r="M74" s="286"/>
      <c r="N74" s="892"/>
      <c r="O74" s="893"/>
      <c r="P74" s="893"/>
      <c r="Q74" s="893"/>
      <c r="R74" s="893"/>
      <c r="S74" s="893"/>
      <c r="T74" s="893"/>
      <c r="U74" s="893"/>
      <c r="V74" s="893"/>
      <c r="W74" s="893"/>
      <c r="X74" s="893"/>
      <c r="Y74" s="893"/>
      <c r="Z74" s="899"/>
      <c r="AA74" s="900"/>
      <c r="AB74" s="901"/>
      <c r="AJ74" s="519"/>
    </row>
    <row r="75" spans="2:36" ht="17" customHeight="1" thickBot="1">
      <c r="B75" s="444"/>
      <c r="C75" s="444"/>
      <c r="D75" s="444"/>
      <c r="E75" s="444"/>
      <c r="F75" s="444"/>
      <c r="G75" s="444"/>
      <c r="H75" s="444"/>
      <c r="I75" s="444"/>
      <c r="K75" s="444"/>
      <c r="L75" s="286"/>
      <c r="M75" s="286"/>
      <c r="N75" s="892"/>
      <c r="O75" s="893"/>
      <c r="P75" s="893"/>
      <c r="Q75" s="893"/>
      <c r="R75" s="893"/>
      <c r="S75" s="893"/>
      <c r="T75" s="893"/>
      <c r="U75" s="893"/>
      <c r="V75" s="893"/>
      <c r="W75" s="893"/>
      <c r="X75" s="893"/>
      <c r="Y75" s="893"/>
      <c r="Z75" s="899"/>
      <c r="AA75" s="900"/>
      <c r="AB75" s="901"/>
      <c r="AJ75" s="519"/>
    </row>
    <row r="76" spans="2:36" ht="17" customHeight="1">
      <c r="B76" s="444"/>
      <c r="C76" s="959" t="s">
        <v>26</v>
      </c>
      <c r="D76" s="290" t="s">
        <v>16</v>
      </c>
      <c r="E76" s="404">
        <v>7.3</v>
      </c>
      <c r="F76" s="405">
        <f>(IF(E76="",K77,(1+(E76/(258.6-(0.88*E76))))*1000))</f>
        <v>1028.9480362921136</v>
      </c>
      <c r="G76" s="402" t="s">
        <v>1190</v>
      </c>
      <c r="H76" s="401" t="s">
        <v>1191</v>
      </c>
      <c r="J76" s="399" t="s">
        <v>29</v>
      </c>
      <c r="K76" s="856" t="str">
        <f>"OG est. à "&amp;(K4*100)&amp;"%"</f>
        <v>OG est. à 80%</v>
      </c>
      <c r="L76" s="857"/>
      <c r="M76" s="286"/>
      <c r="N76" s="892"/>
      <c r="O76" s="893"/>
      <c r="P76" s="893"/>
      <c r="Q76" s="893"/>
      <c r="R76" s="893"/>
      <c r="S76" s="893"/>
      <c r="T76" s="893"/>
      <c r="U76" s="893"/>
      <c r="V76" s="893"/>
      <c r="W76" s="893"/>
      <c r="X76" s="893"/>
      <c r="Y76" s="893"/>
      <c r="Z76" s="899"/>
      <c r="AA76" s="900"/>
      <c r="AB76" s="901"/>
      <c r="AF76" s="500"/>
    </row>
    <row r="77" spans="2:36" ht="17" customHeight="1" thickBot="1">
      <c r="B77" s="444"/>
      <c r="C77" s="960"/>
      <c r="D77" s="291" t="s">
        <v>30</v>
      </c>
      <c r="E77" s="406">
        <v>16.5</v>
      </c>
      <c r="F77" s="355" t="str">
        <f>ROUND(E13,0)&amp;" @ "&amp;K2&amp;" lit."</f>
        <v>1040 @ 12 lit.</v>
      </c>
      <c r="G77" s="403">
        <f>ROUND(D13-D11,1)*-1</f>
        <v>-0.8</v>
      </c>
      <c r="H77" s="407">
        <f>10*G77*K2</f>
        <v>-96</v>
      </c>
      <c r="I77" s="341"/>
      <c r="J77" s="400">
        <f>(((F76/1000)*E76*E77)/J43)/SUMPRODUCT(H21:H41,L21:L41)</f>
        <v>0.87598981475654181</v>
      </c>
      <c r="K77" s="969">
        <f>((K43-1000)*K4)+1000</f>
        <v>1036.238685</v>
      </c>
      <c r="L77" s="970"/>
      <c r="M77" s="286"/>
      <c r="N77" s="892"/>
      <c r="O77" s="893"/>
      <c r="P77" s="893"/>
      <c r="Q77" s="893"/>
      <c r="R77" s="893"/>
      <c r="S77" s="893"/>
      <c r="T77" s="893"/>
      <c r="U77" s="893"/>
      <c r="V77" s="893"/>
      <c r="W77" s="893"/>
      <c r="X77" s="893"/>
      <c r="Y77" s="893"/>
      <c r="Z77" s="899"/>
      <c r="AA77" s="900"/>
      <c r="AB77" s="901"/>
    </row>
    <row r="78" spans="2:36" ht="17" customHeight="1" thickBot="1">
      <c r="B78" s="444"/>
      <c r="C78" s="444"/>
      <c r="D78" s="444"/>
      <c r="E78" s="444"/>
      <c r="F78" s="444"/>
      <c r="G78" s="444"/>
      <c r="H78" s="444"/>
      <c r="I78" s="444"/>
      <c r="J78" s="444"/>
      <c r="K78" s="444"/>
      <c r="L78" s="286"/>
      <c r="M78" s="286"/>
      <c r="N78" s="894"/>
      <c r="O78" s="895"/>
      <c r="P78" s="895"/>
      <c r="Q78" s="895"/>
      <c r="R78" s="895"/>
      <c r="S78" s="895"/>
      <c r="T78" s="895"/>
      <c r="U78" s="895"/>
      <c r="V78" s="895"/>
      <c r="W78" s="895"/>
      <c r="X78" s="895"/>
      <c r="Y78" s="895"/>
      <c r="Z78" s="902"/>
      <c r="AA78" s="903"/>
      <c r="AB78" s="904"/>
    </row>
    <row r="79" spans="2:36" ht="27" thickBot="1">
      <c r="B79" s="176" t="s">
        <v>1198</v>
      </c>
      <c r="C79" s="444"/>
      <c r="D79" s="444"/>
      <c r="E79" s="444"/>
      <c r="F79" s="444"/>
      <c r="G79" s="444"/>
      <c r="H79" s="444"/>
      <c r="I79" s="444"/>
      <c r="J79" s="444"/>
      <c r="K79" s="444"/>
      <c r="L79" s="444"/>
      <c r="M79" s="444"/>
      <c r="N79" s="444"/>
      <c r="O79" s="444"/>
      <c r="P79" s="444"/>
      <c r="Q79" s="444"/>
      <c r="R79" s="444"/>
      <c r="S79" s="444"/>
      <c r="T79" s="444"/>
      <c r="U79" s="444"/>
      <c r="V79" s="444"/>
      <c r="W79" s="444"/>
      <c r="X79" s="444"/>
      <c r="Y79" s="444"/>
      <c r="Z79" s="444"/>
      <c r="AA79" s="444"/>
    </row>
    <row r="80" spans="2:36" ht="16">
      <c r="B80" s="855" t="s">
        <v>191</v>
      </c>
      <c r="C80" s="856"/>
      <c r="D80" s="733">
        <f>Recette!D48</f>
        <v>60</v>
      </c>
      <c r="E80" s="674" t="s">
        <v>307</v>
      </c>
      <c r="F80" s="453" t="s">
        <v>308</v>
      </c>
      <c r="G80" s="453" t="s">
        <v>309</v>
      </c>
      <c r="H80" s="114" t="s">
        <v>1194</v>
      </c>
      <c r="I80" s="864" t="s">
        <v>302</v>
      </c>
      <c r="J80" s="855" t="s">
        <v>25</v>
      </c>
      <c r="K80" s="856"/>
      <c r="L80" s="856"/>
      <c r="M80" s="857"/>
      <c r="N80" s="441"/>
      <c r="O80" s="441"/>
      <c r="P80" s="441"/>
      <c r="Q80" s="441"/>
      <c r="R80" s="441"/>
      <c r="S80" s="441"/>
      <c r="T80" s="441"/>
      <c r="U80" s="441"/>
      <c r="V80" s="802" t="s">
        <v>358</v>
      </c>
      <c r="W80" s="803"/>
      <c r="X80" s="803"/>
      <c r="Y80" s="803"/>
      <c r="Z80" s="803"/>
      <c r="AA80" s="803"/>
      <c r="AB80" s="804"/>
    </row>
    <row r="81" spans="1:34" ht="17" customHeight="1">
      <c r="B81" s="978" t="s">
        <v>28</v>
      </c>
      <c r="C81" s="979"/>
      <c r="D81" s="734" t="s">
        <v>24</v>
      </c>
      <c r="E81" s="730">
        <f>Recette!E49</f>
        <v>0</v>
      </c>
      <c r="F81" s="600">
        <f>Recette!F49</f>
        <v>30</v>
      </c>
      <c r="G81" s="600">
        <f>Recette!G49</f>
        <v>50</v>
      </c>
      <c r="H81" s="600">
        <f>Recette!H49</f>
        <v>60</v>
      </c>
      <c r="I81" s="865"/>
      <c r="J81" s="75" t="s">
        <v>304</v>
      </c>
      <c r="K81" s="867" t="s">
        <v>305</v>
      </c>
      <c r="L81" s="867"/>
      <c r="M81" s="124" t="s">
        <v>1195</v>
      </c>
      <c r="N81" s="255"/>
      <c r="O81" s="255"/>
      <c r="P81" s="255"/>
      <c r="Q81" s="255"/>
      <c r="R81" s="255"/>
      <c r="S81" s="255"/>
      <c r="T81" s="255"/>
      <c r="U81" s="255"/>
      <c r="V81" s="1005" t="s">
        <v>359</v>
      </c>
      <c r="W81" s="1006"/>
      <c r="X81" s="1006"/>
      <c r="Y81" s="1006" t="s">
        <v>360</v>
      </c>
      <c r="Z81" s="1006"/>
      <c r="AA81" s="679" t="s">
        <v>361</v>
      </c>
      <c r="AB81" s="551" t="s">
        <v>2886</v>
      </c>
    </row>
    <row r="82" spans="1:34" ht="17" customHeight="1">
      <c r="B82" s="877" t="str">
        <f>IF(Recette!B50="","",Recette!B50)</f>
        <v>Nelson Sauvin</v>
      </c>
      <c r="C82" s="878"/>
      <c r="D82" s="735">
        <f>IF(Recette!D50="","",Recette!D50)</f>
        <v>0.109</v>
      </c>
      <c r="E82" s="731" t="str">
        <f>IF(Recette!E50="","",Recette!E50/Recette!$C$5*Batch!$K$2)</f>
        <v/>
      </c>
      <c r="F82" s="666" t="str">
        <f>IF(Recette!F50="","",Recette!F50/Recette!$C$5*Batch!$K$2)</f>
        <v/>
      </c>
      <c r="G82" s="666">
        <f>IF(Recette!G50="","",Recette!G50/Recette!$C$5*Batch!$K$2)</f>
        <v>10</v>
      </c>
      <c r="H82" s="667">
        <f>IF(Recette!H50="","",Recette!H50/Recette!$C$5*Batch!$K$2)</f>
        <v>20</v>
      </c>
      <c r="I82" s="667" t="str">
        <f>IF(Recette!I50="","",Recette!I50/Recette!$C$5*Batch!$K$2)</f>
        <v/>
      </c>
      <c r="J82" s="76" t="str">
        <f>IF(E82="","",(IF($D82="",0,$D82)*E82*1000/$K$2)*(1.65*0.000125^(($AD$21/1000)-1))*((1-2.71828^(-0.04*($D$80-E$81)))/4.15))</f>
        <v/>
      </c>
      <c r="K82" s="852" t="str">
        <f>IF(F82="","",(IF($D82="",0,$D82)*F82*1000/$K$2)*(1.65*0.000125^(($AD$21/1000)-1))*((1-2.71828^(-0.04*($D$80-F$81)))/4.15))</f>
        <v/>
      </c>
      <c r="L82" s="852"/>
      <c r="M82" s="451">
        <f>IF(G82="","",(IF($D82="",0,$D82)*G82*1000/$K$2)*(1.65*0.000125^(($AD$21/1000)-1))*((1-2.71828^(-0.04*($D$80-G$81)))/4.15))</f>
        <v>8.61513650511157</v>
      </c>
      <c r="N82" s="488"/>
      <c r="O82" s="443"/>
      <c r="P82" s="443"/>
      <c r="Q82" s="443"/>
      <c r="R82" s="443"/>
      <c r="S82" s="443"/>
      <c r="T82" s="443"/>
      <c r="U82" s="443"/>
      <c r="V82" s="879" t="str">
        <f>IF(Recette!B121="","",Recette!B121)</f>
        <v/>
      </c>
      <c r="W82" s="880"/>
      <c r="X82" s="880"/>
      <c r="Y82" s="880" t="str">
        <f>IF(Recette!D121="","",Recette!D121)</f>
        <v/>
      </c>
      <c r="Z82" s="880"/>
      <c r="AA82" s="603" t="str">
        <f>IF(Recette!F121="","",Recette!F121/Recette!C$5*Batch!K$2)</f>
        <v/>
      </c>
      <c r="AB82" s="599">
        <f>IF(Recette!G121="","",Recette!G121)</f>
        <v>0</v>
      </c>
      <c r="AD82" s="576">
        <f>IF(AA82="",0,((AA82*AB82)/($K$2*19.5*(AD$21/1000)))/100)</f>
        <v>0</v>
      </c>
      <c r="AF82" s="501"/>
      <c r="AH82" s="501"/>
    </row>
    <row r="83" spans="1:34" ht="17" customHeight="1">
      <c r="B83" s="877" t="str">
        <f>IF(Recette!B51="","",Recette!B51)</f>
        <v>Motueka</v>
      </c>
      <c r="C83" s="878"/>
      <c r="D83" s="735">
        <f>IF(Recette!D51="","",Recette!D51)</f>
        <v>6.3E-2</v>
      </c>
      <c r="E83" s="731" t="str">
        <f>IF(Recette!E51="","",Recette!E51/Recette!$C$5*Batch!$K$2)</f>
        <v/>
      </c>
      <c r="F83" s="666" t="str">
        <f>IF(Recette!F51="","",Recette!F51/Recette!$C$5*Batch!$K$2)</f>
        <v/>
      </c>
      <c r="G83" s="666">
        <f>IF(Recette!G51="","",Recette!G51/Recette!$C$5*Batch!$K$2)</f>
        <v>10</v>
      </c>
      <c r="H83" s="667">
        <f>IF(Recette!H51="","",Recette!H51/Recette!$C$5*Batch!$K$2)</f>
        <v>20</v>
      </c>
      <c r="I83" s="667" t="str">
        <f>IF(Recette!I51="","",Recette!I51/Recette!$C$5*Batch!$K$2)</f>
        <v/>
      </c>
      <c r="J83" s="76" t="str">
        <f>IF(E83="","",(IF($D83="",0,$D83)*E83*1000/$K$2)*(1.65*0.000125^(($AD$21/1000)-1))*((1-2.71828^(-0.04*($D$80-E$81)))/4.15))</f>
        <v/>
      </c>
      <c r="K83" s="852" t="str">
        <f>IF(F83="","",(IF($D83="",0,$D83)*F83*1000/$K$2)*(1.65*0.000125^(($AD$21/1000)-1))*((1-2.71828^(-0.04*($D$80-F$81)))/4.15))</f>
        <v/>
      </c>
      <c r="L83" s="852"/>
      <c r="M83" s="480">
        <f>IF(G83="","",(IF($D83="",0,$D83)*G83*1000/$K$2)*(1.65*0.000125^(($AD$21/1000)-1))*((1-2.71828^(-0.04*($D$80-G$81)))/4.15))</f>
        <v>4.9793908240553115</v>
      </c>
      <c r="N83" s="443"/>
      <c r="O83" s="443"/>
      <c r="P83" s="443"/>
      <c r="Q83" s="443"/>
      <c r="R83" s="443"/>
      <c r="S83" s="443"/>
      <c r="T83" s="443"/>
      <c r="U83" s="443"/>
      <c r="V83" s="879" t="str">
        <f>IF(Recette!B122="","",Recette!B122)</f>
        <v/>
      </c>
      <c r="W83" s="880"/>
      <c r="X83" s="880"/>
      <c r="Y83" s="880" t="str">
        <f>IF(Recette!D122="","",Recette!D122)</f>
        <v/>
      </c>
      <c r="Z83" s="880"/>
      <c r="AA83" s="603" t="str">
        <f>IF(Recette!F122="","",Recette!F122/Recette!C$5*Batch!K$2)</f>
        <v/>
      </c>
      <c r="AB83" s="599" t="str">
        <f>IF(Recette!G122="","",Recette!G122)</f>
        <v/>
      </c>
      <c r="AD83" s="576">
        <f t="shared" ref="AD83" si="14">IF(AA83="",0,((AA83*AB83)/($K$2*19.5*(AD$21/1000)))/100)</f>
        <v>0</v>
      </c>
    </row>
    <row r="84" spans="1:34" ht="17" customHeight="1">
      <c r="A84" s="678"/>
      <c r="B84" s="877" t="str">
        <f>IF(Recette!B52="","",Recette!B52)</f>
        <v>Citra</v>
      </c>
      <c r="C84" s="878"/>
      <c r="D84" s="735">
        <f>IF(Recette!D52="","",Recette!D52)</f>
        <v>0.14000000000000001</v>
      </c>
      <c r="E84" s="731">
        <f>IF(Recette!E52="","",Recette!E52/Recette!$C$5*Batch!$K$2)</f>
        <v>2</v>
      </c>
      <c r="F84" s="666">
        <f>IF(Recette!F52="","",Recette!F52/Recette!$C$5*Batch!$K$2)</f>
        <v>15</v>
      </c>
      <c r="G84" s="666" t="str">
        <f>IF(Recette!G52="","",Recette!G52/Recette!$C$5*Batch!$K$2)</f>
        <v/>
      </c>
      <c r="H84" s="667" t="str">
        <f>IF(Recette!H52="","",Recette!H52/Recette!$C$5*Batch!$K$2)</f>
        <v/>
      </c>
      <c r="I84" s="667" t="str">
        <f>IF(Recette!I52="","",Recette!I52/Recette!$C$5*Batch!$K$2)</f>
        <v/>
      </c>
      <c r="J84" s="76">
        <f t="shared" ref="J84:J86" si="15">IF(E84="","",(IF($D84="",0,$D84)*E84*1000/$K$2)*(1.65*0.000125^(($AD$21/1000)-1))*((1-2.71828^(-0.04*($D$80-E$81)))/4.15))</f>
        <v>6.1037950063353561</v>
      </c>
      <c r="K84" s="852">
        <f t="shared" ref="K84:K86" si="16">IF(F84="","",(IF($D84="",0,$D84)*F84*1000/$K$2)*(1.65*0.000125^(($AD$21/1000)-1))*((1-2.71828^(-0.04*($D$80-F$81)))/4.15))</f>
        <v>35.181876444759794</v>
      </c>
      <c r="L84" s="852"/>
      <c r="M84" s="676" t="str">
        <f t="shared" ref="M84:M86" si="17">IF(G84="","",(IF($D84="",0,$D84)*G84*1000/$K$2)*(1.65*0.000125^(($AD$21/1000)-1))*((1-2.71828^(-0.04*($D$80-G$81)))/4.15))</f>
        <v/>
      </c>
      <c r="N84" s="677"/>
      <c r="O84" s="677"/>
      <c r="P84" s="677"/>
      <c r="Q84" s="677"/>
      <c r="R84" s="677"/>
      <c r="S84" s="677"/>
      <c r="T84" s="677"/>
      <c r="U84" s="677"/>
      <c r="V84" s="879" t="str">
        <f>IF(Recette!B123="","",Recette!B123)</f>
        <v/>
      </c>
      <c r="W84" s="880"/>
      <c r="X84" s="880"/>
      <c r="Y84" s="880" t="str">
        <f>IF(Recette!D123="","",Recette!D123)</f>
        <v/>
      </c>
      <c r="Z84" s="880"/>
      <c r="AA84" s="603" t="str">
        <f>IF(Recette!F123="","",Recette!F123/Recette!C$5*Batch!K$2)</f>
        <v/>
      </c>
      <c r="AB84" s="599" t="str">
        <f>IF(Recette!G123="","",Recette!G123)</f>
        <v/>
      </c>
      <c r="AC84" s="678"/>
      <c r="AD84" s="576">
        <f>IF(AA84="",0,((AA84*AB84)/($K$2*19.5*(AD$21/1000)))/100)</f>
        <v>0</v>
      </c>
    </row>
    <row r="85" spans="1:34" ht="17" customHeight="1">
      <c r="A85" s="678"/>
      <c r="B85" s="877" t="str">
        <f>IF(Recette!B53="","",Recette!B53)</f>
        <v/>
      </c>
      <c r="C85" s="878"/>
      <c r="D85" s="735" t="str">
        <f>IF(Recette!D53="","",Recette!D53)</f>
        <v/>
      </c>
      <c r="E85" s="731" t="str">
        <f>IF(Recette!E53="","",Recette!E53/Recette!$C$5*Batch!$K$2)</f>
        <v/>
      </c>
      <c r="F85" s="666" t="str">
        <f>IF(Recette!F53="","",Recette!F53/Recette!$C$5*Batch!$K$2)</f>
        <v/>
      </c>
      <c r="G85" s="666" t="str">
        <f>IF(Recette!G53="","",Recette!G53/Recette!$C$5*Batch!$K$2)</f>
        <v/>
      </c>
      <c r="H85" s="667" t="str">
        <f>IF(Recette!H53="","",Recette!H53/Recette!$C$5*Batch!$K$2)</f>
        <v/>
      </c>
      <c r="I85" s="667" t="str">
        <f>IF(Recette!I53="","",Recette!I53/Recette!$C$5*Batch!$K$2)</f>
        <v/>
      </c>
      <c r="J85" s="76" t="str">
        <f t="shared" si="15"/>
        <v/>
      </c>
      <c r="K85" s="852" t="str">
        <f t="shared" si="16"/>
        <v/>
      </c>
      <c r="L85" s="852"/>
      <c r="M85" s="676" t="str">
        <f t="shared" si="17"/>
        <v/>
      </c>
      <c r="N85" s="677"/>
      <c r="O85" s="677"/>
      <c r="P85" s="677"/>
      <c r="Q85" s="677"/>
      <c r="R85" s="677"/>
      <c r="S85" s="677"/>
      <c r="T85" s="677"/>
      <c r="U85" s="677"/>
      <c r="V85" s="879" t="str">
        <f>IF(Recette!B124="","",Recette!B124)</f>
        <v/>
      </c>
      <c r="W85" s="880"/>
      <c r="X85" s="880"/>
      <c r="Y85" s="880" t="str">
        <f>IF(Recette!D124="","",Recette!D124)</f>
        <v/>
      </c>
      <c r="Z85" s="880"/>
      <c r="AA85" s="603" t="str">
        <f>IF(Recette!F124="","",Recette!F124/Recette!C$5*Batch!K$2)</f>
        <v/>
      </c>
      <c r="AB85" s="599" t="str">
        <f>IF(Recette!G124="","",Recette!G124)</f>
        <v/>
      </c>
      <c r="AC85" s="678"/>
      <c r="AD85" s="576">
        <f>IF(AA85="",0,((AA85*AB85)/($K$2*19.5*(AD$21/1000)))/100)</f>
        <v>0</v>
      </c>
    </row>
    <row r="86" spans="1:34" ht="17" customHeight="1">
      <c r="A86" s="678"/>
      <c r="B86" s="877" t="str">
        <f>IF(Recette!B54="","",Recette!B54)</f>
        <v/>
      </c>
      <c r="C86" s="878"/>
      <c r="D86" s="735" t="str">
        <f>IF(Recette!D54="","",Recette!D54)</f>
        <v/>
      </c>
      <c r="E86" s="731" t="str">
        <f>IF(Recette!E54="","",Recette!E54/Recette!$C$5*Batch!$K$2)</f>
        <v/>
      </c>
      <c r="F86" s="666" t="str">
        <f>IF(Recette!F54="","",Recette!F54/Recette!$C$5*Batch!$K$2)</f>
        <v/>
      </c>
      <c r="G86" s="666" t="str">
        <f>IF(Recette!G54="","",Recette!G54/Recette!$C$5*Batch!$K$2)</f>
        <v/>
      </c>
      <c r="H86" s="667" t="str">
        <f>IF(Recette!H54="","",Recette!H54/Recette!$C$5*Batch!$K$2)</f>
        <v/>
      </c>
      <c r="I86" s="667" t="str">
        <f>IF(Recette!I54="","",Recette!I54/Recette!$C$5*Batch!$K$2)</f>
        <v/>
      </c>
      <c r="J86" s="76" t="str">
        <f t="shared" si="15"/>
        <v/>
      </c>
      <c r="K86" s="852" t="str">
        <f t="shared" si="16"/>
        <v/>
      </c>
      <c r="L86" s="852"/>
      <c r="M86" s="676" t="str">
        <f t="shared" si="17"/>
        <v/>
      </c>
      <c r="N86" s="677"/>
      <c r="O86" s="677"/>
      <c r="P86" s="677"/>
      <c r="Q86" s="677"/>
      <c r="R86" s="677"/>
      <c r="S86" s="677"/>
      <c r="T86" s="677"/>
      <c r="U86" s="677"/>
      <c r="V86" s="879" t="str">
        <f>IF(Recette!B125="","",Recette!B125)</f>
        <v/>
      </c>
      <c r="W86" s="880"/>
      <c r="X86" s="880"/>
      <c r="Y86" s="880" t="str">
        <f>IF(Recette!D125="","",Recette!D125)</f>
        <v/>
      </c>
      <c r="Z86" s="880"/>
      <c r="AA86" s="603" t="str">
        <f>IF(Recette!F125="","",Recette!F125/Recette!C$5*Batch!K$2)</f>
        <v/>
      </c>
      <c r="AB86" s="599" t="str">
        <f>IF(Recette!G125="","",Recette!G125)</f>
        <v/>
      </c>
      <c r="AC86" s="678"/>
      <c r="AD86" s="576">
        <f>IF(AA86="",0,((AA86*AB86)/($K$2*19.5*(AD$21/1000)))/100)</f>
        <v>0</v>
      </c>
    </row>
    <row r="87" spans="1:34" ht="17" customHeight="1" thickBot="1">
      <c r="B87" s="877" t="str">
        <f>IF(Recette!B55="","",Recette!B55)</f>
        <v/>
      </c>
      <c r="C87" s="878"/>
      <c r="D87" s="735" t="str">
        <f>IF(Recette!D55="","",Recette!D55)</f>
        <v/>
      </c>
      <c r="E87" s="731" t="str">
        <f>IF(Recette!E55="","",Recette!E55/Recette!$C$5*Batch!$K$2)</f>
        <v/>
      </c>
      <c r="F87" s="666" t="str">
        <f>IF(Recette!F55="","",Recette!F55/Recette!$C$5*Batch!$K$2)</f>
        <v/>
      </c>
      <c r="G87" s="666" t="str">
        <f>IF(Recette!G55="","",Recette!G55/Recette!$C$5*Batch!$K$2)</f>
        <v/>
      </c>
      <c r="H87" s="667" t="str">
        <f>IF(Recette!H55="","",Recette!H55/Recette!$C$5*Batch!$K$2)</f>
        <v/>
      </c>
      <c r="I87" s="667" t="str">
        <f>IF(Recette!I55="","",Recette!I55/Recette!$C$5*Batch!$K$2)</f>
        <v/>
      </c>
      <c r="J87" s="76" t="str">
        <f t="shared" ref="J87:K90" si="18">IF(E87="","",(IF($D87="",0,$D87)*E87*1000/$K$2)*(1.65*0.000125^(($AD$21/1000)-1))*((1-2.71828^(-0.04*($D$80-E$81)))/4.15))</f>
        <v/>
      </c>
      <c r="K87" s="852" t="str">
        <f t="shared" si="18"/>
        <v/>
      </c>
      <c r="L87" s="852"/>
      <c r="M87" s="480" t="str">
        <f>IF(G87="","",(IF($D87="",0,$D87)*G87*1000/$K$2)*(1.65*0.000125^(($AD$21/1000)-1))*((1-2.71828^(-0.04*($D$80-G$81)))/4.15))</f>
        <v/>
      </c>
      <c r="N87" s="443"/>
      <c r="O87" s="443"/>
      <c r="P87" s="443"/>
      <c r="Q87" s="443"/>
      <c r="R87" s="443"/>
      <c r="S87" s="443"/>
      <c r="T87" s="443"/>
      <c r="U87" s="443"/>
      <c r="V87" s="917" t="str">
        <f>IF(Recette!B126="","",Recette!B126)</f>
        <v/>
      </c>
      <c r="W87" s="889"/>
      <c r="X87" s="889"/>
      <c r="Y87" s="889" t="str">
        <f>IF(Recette!D126="","",Recette!D126)</f>
        <v/>
      </c>
      <c r="Z87" s="889"/>
      <c r="AA87" s="604" t="str">
        <f>IF(Recette!F126="","",Recette!F126/Recette!C$5*Batch!K$2)</f>
        <v/>
      </c>
      <c r="AB87" s="605" t="str">
        <f>IF(Recette!G126="","",Recette!G126)</f>
        <v/>
      </c>
      <c r="AD87" s="576">
        <f>IF(AA87="",0,((AA87*AB87)/($K$2*19.5*(AD$21/1000)))/100)</f>
        <v>0</v>
      </c>
    </row>
    <row r="88" spans="1:34" ht="17" customHeight="1" thickBot="1">
      <c r="B88" s="877" t="str">
        <f>IF(Recette!B56="","",Recette!B56)</f>
        <v/>
      </c>
      <c r="C88" s="878"/>
      <c r="D88" s="735" t="str">
        <f>IF(Recette!D56="","",Recette!D56)</f>
        <v/>
      </c>
      <c r="E88" s="731" t="str">
        <f>IF(Recette!E56="","",Recette!E56/Recette!$C$5*Batch!$K$2)</f>
        <v/>
      </c>
      <c r="F88" s="666" t="str">
        <f>IF(Recette!F56="","",Recette!F56/Recette!$C$5*Batch!$K$2)</f>
        <v/>
      </c>
      <c r="G88" s="666" t="str">
        <f>IF(Recette!G56="","",Recette!G56/Recette!$C$5*Batch!$K$2)</f>
        <v/>
      </c>
      <c r="H88" s="667" t="str">
        <f>IF(Recette!H56="","",Recette!H56/Recette!$C$5*Batch!$K$2)</f>
        <v/>
      </c>
      <c r="I88" s="667" t="str">
        <f>IF(Recette!I56="","",Recette!I56/Recette!$C$5*Batch!$K$2)</f>
        <v/>
      </c>
      <c r="J88" s="76" t="str">
        <f t="shared" si="18"/>
        <v/>
      </c>
      <c r="K88" s="852" t="str">
        <f t="shared" si="18"/>
        <v/>
      </c>
      <c r="L88" s="852"/>
      <c r="M88" s="480" t="str">
        <f>IF(G88="","",(IF($D88="",0,$D88)*G88*1000/$K$2)*(1.65*0.000125^(($AD$21/1000)-1))*((1-2.71828^(-0.04*($D$80-G$81)))/4.15))</f>
        <v/>
      </c>
      <c r="N88" s="443"/>
      <c r="O88" s="443"/>
      <c r="P88" s="443"/>
      <c r="Q88" s="443"/>
      <c r="R88" s="443"/>
      <c r="S88" s="443"/>
      <c r="T88" s="443"/>
      <c r="U88" s="443"/>
      <c r="V88" s="678"/>
      <c r="W88" s="678"/>
      <c r="X88" s="678"/>
      <c r="Y88" s="678"/>
      <c r="Z88" s="678"/>
      <c r="AA88" s="678"/>
      <c r="AB88" s="647">
        <f>SUM(AD82:AD89)</f>
        <v>0</v>
      </c>
    </row>
    <row r="89" spans="1:34" ht="17" customHeight="1" thickBot="1">
      <c r="B89" s="877" t="str">
        <f>IF(Recette!B57="","",Recette!B57)</f>
        <v/>
      </c>
      <c r="C89" s="878"/>
      <c r="D89" s="735" t="str">
        <f>IF(Recette!D57="","",Recette!D57)</f>
        <v/>
      </c>
      <c r="E89" s="731" t="str">
        <f>IF(Recette!E57="","",Recette!E57/Recette!$C$5*Batch!$K$2)</f>
        <v/>
      </c>
      <c r="F89" s="666" t="str">
        <f>IF(Recette!F57="","",Recette!F57/Recette!$C$5*Batch!$K$2)</f>
        <v/>
      </c>
      <c r="G89" s="666" t="str">
        <f>IF(Recette!G57="","",Recette!G57/Recette!$C$5*Batch!$K$2)</f>
        <v/>
      </c>
      <c r="H89" s="667" t="str">
        <f>IF(Recette!H57="","",Recette!H57/Recette!$C$5*Batch!$K$2)</f>
        <v/>
      </c>
      <c r="I89" s="667" t="str">
        <f>IF(Recette!I57="","",Recette!I57/Recette!$C$5*Batch!$K$2)</f>
        <v/>
      </c>
      <c r="J89" s="76" t="str">
        <f t="shared" si="18"/>
        <v/>
      </c>
      <c r="K89" s="852" t="str">
        <f t="shared" si="18"/>
        <v/>
      </c>
      <c r="L89" s="852"/>
      <c r="M89" s="480" t="str">
        <f>IF(G89="","",(IF($D89="",0,$D89)*G89*1000/$K$2)*(1.65*0.000125^(($AD$21/1000)-1))*((1-2.71828^(-0.04*($D$80-G$81)))/4.15))</f>
        <v/>
      </c>
      <c r="N89" s="443"/>
      <c r="O89" s="443"/>
      <c r="P89" s="443"/>
      <c r="Q89" s="443"/>
      <c r="R89" s="443"/>
      <c r="S89" s="443"/>
      <c r="T89" s="443"/>
      <c r="U89" s="443"/>
      <c r="V89" s="678"/>
      <c r="W89" s="678"/>
      <c r="X89" s="680"/>
      <c r="Y89" s="678"/>
      <c r="Z89" s="678"/>
      <c r="AA89" s="678"/>
      <c r="AB89" s="678"/>
    </row>
    <row r="90" spans="1:34" ht="17" customHeight="1" thickBot="1">
      <c r="B90" s="907" t="str">
        <f>IF(Recette!B58="","",Recette!B58)</f>
        <v/>
      </c>
      <c r="C90" s="908"/>
      <c r="D90" s="736" t="str">
        <f>IF(Recette!D58="","",Recette!D58)</f>
        <v/>
      </c>
      <c r="E90" s="732" t="str">
        <f>IF(Recette!E58="","",Recette!E58/Recette!$C$5*Batch!$K$2)</f>
        <v/>
      </c>
      <c r="F90" s="666" t="str">
        <f>IF(Recette!F58="","",Recette!F58/Recette!$C$5*Batch!$K$2)</f>
        <v/>
      </c>
      <c r="G90" s="666" t="str">
        <f>IF(Recette!G58="","",Recette!G58/Recette!$C$5*Batch!$K$2)</f>
        <v/>
      </c>
      <c r="H90" s="667" t="str">
        <f>IF(Recette!H58="","",Recette!H58/Recette!$C$5*Batch!$K$2)</f>
        <v/>
      </c>
      <c r="I90" s="667" t="str">
        <f>IF(Recette!I58="","",Recette!I58/Recette!$C$5*Batch!$K$2)</f>
        <v/>
      </c>
      <c r="J90" s="76" t="str">
        <f t="shared" si="18"/>
        <v/>
      </c>
      <c r="K90" s="852" t="str">
        <f t="shared" si="18"/>
        <v/>
      </c>
      <c r="L90" s="852"/>
      <c r="M90" s="480" t="str">
        <f>IF(G90="","",(IF($D90="",0,$D90)*G90*1000/$K$2)*(1.65*0.000125^(($AD$21/1000)-1))*((1-2.71828^(-0.04*($D$80-G$81)))/4.15))</f>
        <v/>
      </c>
      <c r="N90" s="443"/>
      <c r="O90" s="443"/>
      <c r="P90" s="443"/>
      <c r="Q90" s="443"/>
      <c r="R90" s="443"/>
      <c r="S90" s="443"/>
      <c r="T90" s="443"/>
      <c r="U90" s="443"/>
      <c r="V90" s="423"/>
      <c r="W90" s="761"/>
      <c r="X90" s="762" t="s">
        <v>2948</v>
      </c>
      <c r="Y90" s="681"/>
      <c r="Z90" s="681"/>
      <c r="AA90" s="681"/>
      <c r="AB90" s="770" t="s">
        <v>2946</v>
      </c>
    </row>
    <row r="91" spans="1:34" s="292" customFormat="1" ht="17" hidden="1" customHeight="1">
      <c r="B91" s="293" t="str">
        <f>BDD!A35</f>
        <v>Ahtanum</v>
      </c>
      <c r="C91" s="293"/>
      <c r="D91" s="103"/>
      <c r="E91" s="294"/>
      <c r="F91" s="295"/>
      <c r="G91" s="295"/>
      <c r="H91" s="295"/>
      <c r="I91" s="295"/>
      <c r="J91" s="76" t="str">
        <f t="shared" ref="J91:J122" si="19">IF(F91="","",(F91*E91*(1.65*(0.000125^(($F$76/1000)-1)))*((1-EXP(-0.04*($D$80-$E$81)))/4.15)*1000)/(K$2*(1+((($F$76/1000)-1.05)/0.2))))</f>
        <v/>
      </c>
      <c r="K91" s="450" t="str">
        <f t="shared" ref="K91:K122" si="20">IF(G91="","",(E91*G91*(1.65*(0.000125^(($K$77/1000)-1)))*((1-EXP(-0.04*($D$80-$F$81)))/4.15)*1000)/(K$2*(1+((($K$77/1000)-1.05)/0.2))))</f>
        <v/>
      </c>
      <c r="L91" s="117"/>
      <c r="M91" s="451">
        <f t="shared" ref="M91:M122" si="21">($E91*I91*1000/$K$2)*(1.65*0.000125^(($AD$21/1000)-1))*((1-2.71828^(-0.04*($D$80-H$81)))/4.15)</f>
        <v>0</v>
      </c>
      <c r="N91" s="296"/>
      <c r="O91" s="296"/>
      <c r="P91" s="296"/>
      <c r="Q91" s="296"/>
      <c r="R91" s="296"/>
      <c r="S91" s="296"/>
      <c r="T91" s="296"/>
      <c r="U91" s="296"/>
      <c r="V91" s="763"/>
      <c r="W91" s="760"/>
      <c r="X91" s="764"/>
      <c r="Y91" s="303"/>
      <c r="Z91" s="303"/>
      <c r="AA91" s="767" t="str">
        <f>IF(Recette!F127="","",Recette!F127/Recette!C$5*Batch!K$2)</f>
        <v/>
      </c>
      <c r="AB91" s="771"/>
      <c r="AC91" s="441"/>
      <c r="AD91" s="155" t="e">
        <f>(AA91*AB91)/K8/10</f>
        <v>#VALUE!</v>
      </c>
    </row>
    <row r="92" spans="1:34" s="292" customFormat="1" ht="17" hidden="1" customHeight="1">
      <c r="B92" s="293" t="str">
        <f>BDD!A36</f>
        <v>Amarillo</v>
      </c>
      <c r="C92" s="293"/>
      <c r="D92" s="103"/>
      <c r="E92" s="294"/>
      <c r="F92" s="295"/>
      <c r="G92" s="295"/>
      <c r="H92" s="295"/>
      <c r="I92" s="295"/>
      <c r="J92" s="76" t="str">
        <f t="shared" si="19"/>
        <v/>
      </c>
      <c r="K92" s="450" t="str">
        <f t="shared" si="20"/>
        <v/>
      </c>
      <c r="L92" s="117"/>
      <c r="M92" s="451">
        <f t="shared" si="21"/>
        <v>0</v>
      </c>
      <c r="N92" s="296"/>
      <c r="O92" s="296"/>
      <c r="P92" s="296"/>
      <c r="Q92" s="296"/>
      <c r="R92" s="296"/>
      <c r="S92" s="296"/>
      <c r="T92" s="296"/>
      <c r="U92" s="296"/>
      <c r="V92" s="763"/>
      <c r="W92" s="760"/>
      <c r="X92" s="764"/>
      <c r="Y92" s="303"/>
      <c r="Z92" s="303"/>
      <c r="AA92" s="768" t="str">
        <f>IF(Recette!F128="","",Recette!F128/Recette!C$5*Batch!K$2)</f>
        <v/>
      </c>
      <c r="AB92" s="771"/>
      <c r="AC92" s="441"/>
      <c r="AD92" s="155" t="e">
        <f>(AA92*AB92)/C9/10</f>
        <v>#VALUE!</v>
      </c>
    </row>
    <row r="93" spans="1:34" s="292" customFormat="1" ht="17" hidden="1" customHeight="1">
      <c r="B93" s="293" t="str">
        <f>BDD!A37</f>
        <v>Brewers gold</v>
      </c>
      <c r="C93" s="293"/>
      <c r="D93" s="103"/>
      <c r="E93" s="294"/>
      <c r="F93" s="295"/>
      <c r="G93" s="295"/>
      <c r="H93" s="295"/>
      <c r="I93" s="295"/>
      <c r="J93" s="76" t="str">
        <f t="shared" si="19"/>
        <v/>
      </c>
      <c r="K93" s="450" t="str">
        <f t="shared" si="20"/>
        <v/>
      </c>
      <c r="L93" s="117"/>
      <c r="M93" s="451">
        <f t="shared" si="21"/>
        <v>0</v>
      </c>
      <c r="N93" s="296"/>
      <c r="O93" s="296"/>
      <c r="P93" s="296"/>
      <c r="Q93" s="296"/>
      <c r="R93" s="296"/>
      <c r="S93" s="296"/>
      <c r="T93" s="296"/>
      <c r="U93" s="296"/>
      <c r="V93" s="763"/>
      <c r="W93" s="760"/>
      <c r="X93" s="764"/>
      <c r="Y93" s="303"/>
      <c r="Z93" s="303"/>
      <c r="AA93" s="768" t="str">
        <f>IF(Recette!F129="","",Recette!F129/Recette!C$5*Batch!K$2)</f>
        <v/>
      </c>
      <c r="AB93" s="771"/>
      <c r="AC93" s="441"/>
      <c r="AD93" s="155" t="e">
        <f t="shared" ref="AD93:AD124" si="22">(AA93*AB93)/K10/10</f>
        <v>#VALUE!</v>
      </c>
    </row>
    <row r="94" spans="1:34" s="292" customFormat="1" ht="17" hidden="1" customHeight="1">
      <c r="B94" s="293" t="str">
        <f>BDD!A38</f>
        <v>Cascade</v>
      </c>
      <c r="C94" s="293"/>
      <c r="D94" s="103"/>
      <c r="E94" s="294"/>
      <c r="F94" s="295"/>
      <c r="G94" s="295"/>
      <c r="H94" s="295"/>
      <c r="I94" s="295"/>
      <c r="J94" s="76" t="str">
        <f t="shared" si="19"/>
        <v/>
      </c>
      <c r="K94" s="450" t="str">
        <f t="shared" si="20"/>
        <v/>
      </c>
      <c r="L94" s="117"/>
      <c r="M94" s="451">
        <f t="shared" si="21"/>
        <v>0</v>
      </c>
      <c r="N94" s="296"/>
      <c r="O94" s="296"/>
      <c r="P94" s="296"/>
      <c r="Q94" s="296"/>
      <c r="R94" s="296"/>
      <c r="S94" s="296"/>
      <c r="T94" s="296"/>
      <c r="U94" s="296"/>
      <c r="V94" s="763"/>
      <c r="W94" s="760"/>
      <c r="X94" s="764"/>
      <c r="Y94" s="303"/>
      <c r="Z94" s="303"/>
      <c r="AA94" s="768" t="str">
        <f>IF(Recette!F130="","",Recette!F130/Recette!C$5*Batch!K$2)</f>
        <v/>
      </c>
      <c r="AB94" s="771"/>
      <c r="AC94" s="441"/>
      <c r="AD94" s="155" t="e">
        <f t="shared" si="22"/>
        <v>#VALUE!</v>
      </c>
    </row>
    <row r="95" spans="1:34" s="292" customFormat="1" ht="17" hidden="1" customHeight="1">
      <c r="B95" s="293" t="str">
        <f>BDD!A39</f>
        <v>Cascade Suisse</v>
      </c>
      <c r="C95" s="293"/>
      <c r="D95" s="103"/>
      <c r="E95" s="294"/>
      <c r="F95" s="295"/>
      <c r="G95" s="295"/>
      <c r="H95" s="295"/>
      <c r="I95" s="295"/>
      <c r="J95" s="76" t="str">
        <f t="shared" si="19"/>
        <v/>
      </c>
      <c r="K95" s="450" t="str">
        <f t="shared" si="20"/>
        <v/>
      </c>
      <c r="L95" s="117"/>
      <c r="M95" s="451">
        <f t="shared" si="21"/>
        <v>0</v>
      </c>
      <c r="N95" s="296"/>
      <c r="O95" s="296"/>
      <c r="P95" s="296"/>
      <c r="Q95" s="296"/>
      <c r="R95" s="296"/>
      <c r="S95" s="296"/>
      <c r="T95" s="296"/>
      <c r="U95" s="296"/>
      <c r="V95" s="763"/>
      <c r="W95" s="760"/>
      <c r="X95" s="764"/>
      <c r="Y95" s="303"/>
      <c r="Z95" s="303"/>
      <c r="AA95" s="768" t="str">
        <f>IF(Recette!F131="","",Recette!F131/Recette!C$5*Batch!K$2)</f>
        <v/>
      </c>
      <c r="AB95" s="771"/>
      <c r="AC95" s="441"/>
      <c r="AD95" s="155" t="e">
        <f t="shared" si="22"/>
        <v>#VALUE!</v>
      </c>
    </row>
    <row r="96" spans="1:34" s="292" customFormat="1" ht="17" hidden="1" customHeight="1">
      <c r="B96" s="293" t="str">
        <f>BDD!A40</f>
        <v>Cascade Suisse Bio</v>
      </c>
      <c r="C96" s="293"/>
      <c r="D96" s="103"/>
      <c r="E96" s="294"/>
      <c r="F96" s="295"/>
      <c r="G96" s="295"/>
      <c r="H96" s="295"/>
      <c r="I96" s="295"/>
      <c r="J96" s="76" t="str">
        <f t="shared" si="19"/>
        <v/>
      </c>
      <c r="K96" s="450" t="str">
        <f t="shared" si="20"/>
        <v/>
      </c>
      <c r="L96" s="117"/>
      <c r="M96" s="451">
        <f t="shared" si="21"/>
        <v>0</v>
      </c>
      <c r="N96" s="296"/>
      <c r="O96" s="296"/>
      <c r="P96" s="296"/>
      <c r="Q96" s="296"/>
      <c r="R96" s="296"/>
      <c r="S96" s="296"/>
      <c r="T96" s="296"/>
      <c r="U96" s="296"/>
      <c r="V96" s="763"/>
      <c r="W96" s="760"/>
      <c r="X96" s="764"/>
      <c r="Y96" s="303"/>
      <c r="Z96" s="303"/>
      <c r="AA96" s="768" t="str">
        <f>IF(Recette!F132="","",Recette!F132/Recette!C$5*Batch!K$2)</f>
        <v/>
      </c>
      <c r="AB96" s="771"/>
      <c r="AC96" s="441"/>
      <c r="AD96" s="155" t="e">
        <f t="shared" si="22"/>
        <v>#VALUE!</v>
      </c>
    </row>
    <row r="97" spans="2:30" s="292" customFormat="1" ht="17" hidden="1" customHeight="1">
      <c r="B97" s="293" t="str">
        <f>BDD!A41</f>
        <v>Challenger</v>
      </c>
      <c r="C97" s="293"/>
      <c r="D97" s="103"/>
      <c r="E97" s="294"/>
      <c r="F97" s="295"/>
      <c r="G97" s="295"/>
      <c r="H97" s="295"/>
      <c r="I97" s="295"/>
      <c r="J97" s="76" t="str">
        <f t="shared" si="19"/>
        <v/>
      </c>
      <c r="K97" s="450" t="str">
        <f t="shared" si="20"/>
        <v/>
      </c>
      <c r="L97" s="117"/>
      <c r="M97" s="451">
        <f t="shared" si="21"/>
        <v>0</v>
      </c>
      <c r="N97" s="296"/>
      <c r="O97" s="296"/>
      <c r="P97" s="296"/>
      <c r="Q97" s="296"/>
      <c r="R97" s="296"/>
      <c r="S97" s="296"/>
      <c r="T97" s="296"/>
      <c r="U97" s="296"/>
      <c r="V97" s="763"/>
      <c r="W97" s="760"/>
      <c r="X97" s="764"/>
      <c r="Y97" s="303"/>
      <c r="Z97" s="303"/>
      <c r="AA97" s="768" t="str">
        <f>IF(Recette!F133="","",Recette!F133/Recette!C$5*Batch!K$2)</f>
        <v/>
      </c>
      <c r="AB97" s="771"/>
      <c r="AC97" s="441"/>
      <c r="AD97" s="155" t="e">
        <f t="shared" si="22"/>
        <v>#VALUE!</v>
      </c>
    </row>
    <row r="98" spans="2:30" s="292" customFormat="1" ht="17" hidden="1" customHeight="1">
      <c r="B98" s="293" t="str">
        <f>BDD!A42</f>
        <v>Chinook</v>
      </c>
      <c r="C98" s="293"/>
      <c r="D98" s="103"/>
      <c r="E98" s="294"/>
      <c r="F98" s="295"/>
      <c r="G98" s="295"/>
      <c r="H98" s="295"/>
      <c r="I98" s="295"/>
      <c r="J98" s="76" t="str">
        <f t="shared" si="19"/>
        <v/>
      </c>
      <c r="K98" s="450" t="str">
        <f t="shared" si="20"/>
        <v/>
      </c>
      <c r="L98" s="117"/>
      <c r="M98" s="451">
        <f t="shared" si="21"/>
        <v>0</v>
      </c>
      <c r="N98" s="296"/>
      <c r="O98" s="296"/>
      <c r="P98" s="296"/>
      <c r="Q98" s="296"/>
      <c r="R98" s="296"/>
      <c r="S98" s="296"/>
      <c r="T98" s="296"/>
      <c r="U98" s="296"/>
      <c r="V98" s="763"/>
      <c r="W98" s="760"/>
      <c r="X98" s="764"/>
      <c r="Y98" s="303"/>
      <c r="Z98" s="303"/>
      <c r="AA98" s="768" t="str">
        <f>IF(Recette!F134="","",Recette!F134/Recette!C$5*Batch!K$2)</f>
        <v/>
      </c>
      <c r="AB98" s="771"/>
      <c r="AC98" s="441"/>
      <c r="AD98" s="155" t="e">
        <f t="shared" si="22"/>
        <v>#VALUE!</v>
      </c>
    </row>
    <row r="99" spans="2:30" s="292" customFormat="1" ht="17" hidden="1" customHeight="1">
      <c r="B99" s="293" t="str">
        <f>BDD!A43</f>
        <v>Centennial</v>
      </c>
      <c r="C99" s="293"/>
      <c r="D99" s="103"/>
      <c r="E99" s="294"/>
      <c r="F99" s="295"/>
      <c r="G99" s="295"/>
      <c r="H99" s="295"/>
      <c r="I99" s="295"/>
      <c r="J99" s="76" t="str">
        <f t="shared" si="19"/>
        <v/>
      </c>
      <c r="K99" s="450" t="str">
        <f t="shared" si="20"/>
        <v/>
      </c>
      <c r="L99" s="117"/>
      <c r="M99" s="451">
        <f t="shared" si="21"/>
        <v>0</v>
      </c>
      <c r="N99" s="296"/>
      <c r="O99" s="296"/>
      <c r="P99" s="296"/>
      <c r="Q99" s="296"/>
      <c r="R99" s="296"/>
      <c r="S99" s="296"/>
      <c r="T99" s="296"/>
      <c r="U99" s="296"/>
      <c r="V99" s="763"/>
      <c r="W99" s="760"/>
      <c r="X99" s="764"/>
      <c r="Y99" s="303"/>
      <c r="Z99" s="303"/>
      <c r="AA99" s="768" t="str">
        <f>IF(Recette!F135="","",Recette!F135/Recette!C$5*Batch!K$2)</f>
        <v/>
      </c>
      <c r="AB99" s="771"/>
      <c r="AC99" s="441"/>
      <c r="AD99" s="155" t="e">
        <f t="shared" si="22"/>
        <v>#VALUE!</v>
      </c>
    </row>
    <row r="100" spans="2:30" s="292" customFormat="1" ht="17" hidden="1" customHeight="1">
      <c r="B100" s="293" t="str">
        <f>BDD!A44</f>
        <v>Citra</v>
      </c>
      <c r="C100" s="293"/>
      <c r="D100" s="103"/>
      <c r="E100" s="294"/>
      <c r="F100" s="295"/>
      <c r="G100" s="295"/>
      <c r="H100" s="295"/>
      <c r="I100" s="295"/>
      <c r="J100" s="76" t="str">
        <f t="shared" si="19"/>
        <v/>
      </c>
      <c r="K100" s="450" t="str">
        <f t="shared" si="20"/>
        <v/>
      </c>
      <c r="L100" s="117"/>
      <c r="M100" s="451">
        <f t="shared" si="21"/>
        <v>0</v>
      </c>
      <c r="N100" s="296"/>
      <c r="O100" s="296"/>
      <c r="P100" s="296"/>
      <c r="Q100" s="296"/>
      <c r="R100" s="296"/>
      <c r="S100" s="296"/>
      <c r="T100" s="296"/>
      <c r="U100" s="296"/>
      <c r="V100" s="763"/>
      <c r="W100" s="760"/>
      <c r="X100" s="764"/>
      <c r="Y100" s="303"/>
      <c r="Z100" s="303"/>
      <c r="AA100" s="768" t="str">
        <f>IF(Recette!F136="","",Recette!F136/Recette!C$5*Batch!K$2)</f>
        <v/>
      </c>
      <c r="AB100" s="771"/>
      <c r="AC100" s="441"/>
      <c r="AD100" s="155" t="e">
        <f t="shared" si="22"/>
        <v>#VALUE!</v>
      </c>
    </row>
    <row r="101" spans="2:30" s="292" customFormat="1" ht="17" hidden="1" customHeight="1">
      <c r="B101" s="293" t="str">
        <f>BDD!A45</f>
        <v>Columbus</v>
      </c>
      <c r="C101" s="293"/>
      <c r="D101" s="103"/>
      <c r="E101" s="294"/>
      <c r="F101" s="295"/>
      <c r="G101" s="295"/>
      <c r="H101" s="295"/>
      <c r="I101" s="295"/>
      <c r="J101" s="76" t="str">
        <f t="shared" si="19"/>
        <v/>
      </c>
      <c r="K101" s="450" t="str">
        <f t="shared" si="20"/>
        <v/>
      </c>
      <c r="L101" s="117"/>
      <c r="M101" s="451">
        <f t="shared" si="21"/>
        <v>0</v>
      </c>
      <c r="N101" s="296"/>
      <c r="O101" s="296"/>
      <c r="P101" s="296"/>
      <c r="Q101" s="296"/>
      <c r="R101" s="296"/>
      <c r="S101" s="296"/>
      <c r="T101" s="296"/>
      <c r="U101" s="296"/>
      <c r="V101" s="763"/>
      <c r="W101" s="760"/>
      <c r="X101" s="764"/>
      <c r="Y101" s="303"/>
      <c r="Z101" s="303"/>
      <c r="AA101" s="768" t="str">
        <f>IF(Recette!F137="","",Recette!F137/Recette!C$5*Batch!K$2)</f>
        <v/>
      </c>
      <c r="AB101" s="771"/>
      <c r="AC101" s="441"/>
      <c r="AD101" s="155" t="e">
        <f t="shared" si="22"/>
        <v>#VALUE!</v>
      </c>
    </row>
    <row r="102" spans="2:30" s="292" customFormat="1" ht="17" hidden="1" customHeight="1">
      <c r="B102" s="293" t="str">
        <f>BDD!A46</f>
        <v>Crystal</v>
      </c>
      <c r="C102" s="293"/>
      <c r="D102" s="103"/>
      <c r="E102" s="294"/>
      <c r="F102" s="295"/>
      <c r="G102" s="295"/>
      <c r="H102" s="295"/>
      <c r="I102" s="295"/>
      <c r="J102" s="76" t="str">
        <f t="shared" si="19"/>
        <v/>
      </c>
      <c r="K102" s="450" t="str">
        <f t="shared" si="20"/>
        <v/>
      </c>
      <c r="L102" s="117"/>
      <c r="M102" s="451">
        <f t="shared" si="21"/>
        <v>0</v>
      </c>
      <c r="N102" s="296"/>
      <c r="O102" s="296"/>
      <c r="P102" s="296"/>
      <c r="Q102" s="296"/>
      <c r="R102" s="296"/>
      <c r="S102" s="296"/>
      <c r="T102" s="296"/>
      <c r="U102" s="296"/>
      <c r="V102" s="763"/>
      <c r="W102" s="760"/>
      <c r="X102" s="764"/>
      <c r="Y102" s="303"/>
      <c r="Z102" s="303"/>
      <c r="AA102" s="768" t="str">
        <f>IF(Recette!F138="","",Recette!F138/Recette!C$5*Batch!K$2)</f>
        <v/>
      </c>
      <c r="AB102" s="771"/>
      <c r="AC102" s="441"/>
      <c r="AD102" s="155" t="e">
        <f t="shared" si="22"/>
        <v>#VALUE!</v>
      </c>
    </row>
    <row r="103" spans="2:30" s="292" customFormat="1" ht="17" hidden="1" customHeight="1">
      <c r="B103" s="293" t="str">
        <f>BDD!A47</f>
        <v>East Kent Goldings</v>
      </c>
      <c r="C103" s="293"/>
      <c r="D103" s="103"/>
      <c r="E103" s="294"/>
      <c r="F103" s="295"/>
      <c r="G103" s="295"/>
      <c r="H103" s="295"/>
      <c r="I103" s="295"/>
      <c r="J103" s="76" t="str">
        <f t="shared" si="19"/>
        <v/>
      </c>
      <c r="K103" s="450" t="str">
        <f t="shared" si="20"/>
        <v/>
      </c>
      <c r="L103" s="117"/>
      <c r="M103" s="451">
        <f t="shared" si="21"/>
        <v>0</v>
      </c>
      <c r="N103" s="296"/>
      <c r="O103" s="296"/>
      <c r="P103" s="296"/>
      <c r="Q103" s="296"/>
      <c r="R103" s="296"/>
      <c r="S103" s="296"/>
      <c r="T103" s="296"/>
      <c r="U103" s="296"/>
      <c r="V103" s="763"/>
      <c r="W103" s="760"/>
      <c r="X103" s="764"/>
      <c r="Y103" s="303"/>
      <c r="Z103" s="303"/>
      <c r="AA103" s="768" t="str">
        <f>IF(Recette!F139="","",Recette!F139/Recette!C$5*Batch!K$2)</f>
        <v/>
      </c>
      <c r="AB103" s="771"/>
      <c r="AC103" s="441"/>
      <c r="AD103" s="155" t="e">
        <f t="shared" si="22"/>
        <v>#VALUE!</v>
      </c>
    </row>
    <row r="104" spans="2:30" s="292" customFormat="1" ht="17" hidden="1" customHeight="1">
      <c r="B104" s="293" t="str">
        <f>BDD!A48</f>
        <v>Fuggles</v>
      </c>
      <c r="C104" s="293"/>
      <c r="D104" s="103"/>
      <c r="E104" s="294"/>
      <c r="F104" s="295"/>
      <c r="G104" s="295"/>
      <c r="H104" s="295"/>
      <c r="I104" s="295"/>
      <c r="J104" s="76" t="str">
        <f t="shared" si="19"/>
        <v/>
      </c>
      <c r="K104" s="450" t="str">
        <f t="shared" si="20"/>
        <v/>
      </c>
      <c r="L104" s="117"/>
      <c r="M104" s="451">
        <f t="shared" si="21"/>
        <v>0</v>
      </c>
      <c r="N104" s="296"/>
      <c r="O104" s="296"/>
      <c r="P104" s="296"/>
      <c r="Q104" s="296"/>
      <c r="R104" s="296"/>
      <c r="S104" s="296"/>
      <c r="T104" s="296"/>
      <c r="U104" s="296"/>
      <c r="V104" s="763"/>
      <c r="W104" s="760"/>
      <c r="X104" s="764"/>
      <c r="Y104" s="303"/>
      <c r="Z104" s="303"/>
      <c r="AA104" s="768" t="str">
        <f>IF(Recette!F140="","",Recette!F140/Recette!C$5*Batch!K$2)</f>
        <v/>
      </c>
      <c r="AB104" s="771"/>
      <c r="AC104" s="441"/>
      <c r="AD104" s="155" t="e">
        <f t="shared" si="22"/>
        <v>#VALUE!</v>
      </c>
    </row>
    <row r="105" spans="2:30" s="292" customFormat="1" ht="17" hidden="1" customHeight="1">
      <c r="B105" s="293" t="str">
        <f>BDD!A49</f>
        <v>Galaxy</v>
      </c>
      <c r="C105" s="293"/>
      <c r="D105" s="103"/>
      <c r="E105" s="294"/>
      <c r="F105" s="295"/>
      <c r="G105" s="295"/>
      <c r="H105" s="295"/>
      <c r="I105" s="295"/>
      <c r="J105" s="76" t="str">
        <f t="shared" si="19"/>
        <v/>
      </c>
      <c r="K105" s="450" t="str">
        <f t="shared" si="20"/>
        <v/>
      </c>
      <c r="L105" s="117"/>
      <c r="M105" s="451">
        <f t="shared" si="21"/>
        <v>0</v>
      </c>
      <c r="N105" s="296"/>
      <c r="O105" s="296"/>
      <c r="P105" s="296"/>
      <c r="Q105" s="296"/>
      <c r="R105" s="296"/>
      <c r="S105" s="296"/>
      <c r="T105" s="296"/>
      <c r="U105" s="296"/>
      <c r="V105" s="763"/>
      <c r="W105" s="760"/>
      <c r="X105" s="764"/>
      <c r="Y105" s="303"/>
      <c r="Z105" s="303"/>
      <c r="AA105" s="768" t="str">
        <f>IF(Recette!F141="","",Recette!F141/Recette!C$5*Batch!K$2)</f>
        <v/>
      </c>
      <c r="AB105" s="771"/>
      <c r="AC105" s="441"/>
      <c r="AD105" s="155" t="e">
        <f t="shared" si="22"/>
        <v>#VALUE!</v>
      </c>
    </row>
    <row r="106" spans="2:30" s="292" customFormat="1" ht="17" hidden="1" customHeight="1">
      <c r="B106" s="293" t="str">
        <f>BDD!A50</f>
        <v>Hallertau/mittelfruh</v>
      </c>
      <c r="C106" s="293"/>
      <c r="D106" s="103"/>
      <c r="E106" s="294"/>
      <c r="F106" s="295"/>
      <c r="G106" s="295"/>
      <c r="H106" s="295"/>
      <c r="I106" s="295"/>
      <c r="J106" s="76" t="str">
        <f t="shared" si="19"/>
        <v/>
      </c>
      <c r="K106" s="450" t="str">
        <f t="shared" si="20"/>
        <v/>
      </c>
      <c r="L106" s="117"/>
      <c r="M106" s="451">
        <f t="shared" si="21"/>
        <v>0</v>
      </c>
      <c r="N106" s="296"/>
      <c r="O106" s="296"/>
      <c r="P106" s="296"/>
      <c r="Q106" s="296"/>
      <c r="R106" s="296"/>
      <c r="S106" s="296"/>
      <c r="T106" s="296"/>
      <c r="U106" s="296"/>
      <c r="V106" s="763"/>
      <c r="W106" s="760"/>
      <c r="X106" s="764"/>
      <c r="Y106" s="303"/>
      <c r="Z106" s="303"/>
      <c r="AA106" s="768" t="str">
        <f>IF(Recette!F142="","",Recette!F142/Recette!C$5*Batch!K$2)</f>
        <v/>
      </c>
      <c r="AB106" s="771"/>
      <c r="AC106" s="441"/>
      <c r="AD106" s="155" t="e">
        <f t="shared" si="22"/>
        <v>#VALUE!</v>
      </c>
    </row>
    <row r="107" spans="2:30" s="292" customFormat="1" ht="17" hidden="1" customHeight="1">
      <c r="B107" s="293" t="str">
        <f>BDD!A51</f>
        <v>Hall. Cascade Bio</v>
      </c>
      <c r="C107" s="293"/>
      <c r="D107" s="103"/>
      <c r="E107" s="294"/>
      <c r="F107" s="295"/>
      <c r="G107" s="295"/>
      <c r="H107" s="295"/>
      <c r="I107" s="295"/>
      <c r="J107" s="76" t="str">
        <f t="shared" si="19"/>
        <v/>
      </c>
      <c r="K107" s="450" t="str">
        <f t="shared" si="20"/>
        <v/>
      </c>
      <c r="L107" s="117"/>
      <c r="M107" s="451">
        <f t="shared" si="21"/>
        <v>0</v>
      </c>
      <c r="N107" s="296"/>
      <c r="O107" s="296"/>
      <c r="P107" s="296"/>
      <c r="Q107" s="296"/>
      <c r="R107" s="296"/>
      <c r="S107" s="296"/>
      <c r="T107" s="296"/>
      <c r="U107" s="296"/>
      <c r="V107" s="763"/>
      <c r="W107" s="760"/>
      <c r="X107" s="764"/>
      <c r="Y107" s="303"/>
      <c r="Z107" s="303"/>
      <c r="AA107" s="768" t="str">
        <f>IF(Recette!F143="","",Recette!F143/Recette!C$5*Batch!K$2)</f>
        <v/>
      </c>
      <c r="AB107" s="771"/>
      <c r="AC107" s="441"/>
      <c r="AD107" s="155" t="e">
        <f t="shared" si="22"/>
        <v>#VALUE!</v>
      </c>
    </row>
    <row r="108" spans="2:30" s="292" customFormat="1" ht="17" hidden="1" customHeight="1">
      <c r="B108" s="293" t="str">
        <f>BDD!A52</f>
        <v>Hallertau Blanc</v>
      </c>
      <c r="C108" s="293"/>
      <c r="D108" s="103"/>
      <c r="E108" s="294"/>
      <c r="F108" s="295"/>
      <c r="G108" s="295"/>
      <c r="H108" s="295"/>
      <c r="I108" s="295"/>
      <c r="J108" s="76" t="str">
        <f t="shared" si="19"/>
        <v/>
      </c>
      <c r="K108" s="450" t="str">
        <f t="shared" si="20"/>
        <v/>
      </c>
      <c r="L108" s="117"/>
      <c r="M108" s="451">
        <f t="shared" si="21"/>
        <v>0</v>
      </c>
      <c r="N108" s="296"/>
      <c r="O108" s="296"/>
      <c r="P108" s="296"/>
      <c r="Q108" s="296"/>
      <c r="R108" s="296"/>
      <c r="S108" s="296"/>
      <c r="T108" s="296"/>
      <c r="U108" s="296"/>
      <c r="V108" s="763"/>
      <c r="W108" s="760"/>
      <c r="X108" s="764"/>
      <c r="Y108" s="303"/>
      <c r="Z108" s="303"/>
      <c r="AA108" s="768" t="str">
        <f>IF(Recette!F144="","",Recette!F144/Recette!C$5*Batch!K$2)</f>
        <v/>
      </c>
      <c r="AB108" s="771"/>
      <c r="AC108" s="441"/>
      <c r="AD108" s="155" t="e">
        <f t="shared" si="22"/>
        <v>#VALUE!</v>
      </c>
    </row>
    <row r="109" spans="2:30" s="292" customFormat="1" ht="17" hidden="1" customHeight="1">
      <c r="B109" s="293" t="str">
        <f>BDD!A53</f>
        <v>Hallertau Hersbrucker</v>
      </c>
      <c r="C109" s="293"/>
      <c r="D109" s="103"/>
      <c r="E109" s="294"/>
      <c r="F109" s="295"/>
      <c r="G109" s="295"/>
      <c r="H109" s="295"/>
      <c r="I109" s="295"/>
      <c r="J109" s="76" t="str">
        <f t="shared" si="19"/>
        <v/>
      </c>
      <c r="K109" s="450" t="str">
        <f t="shared" si="20"/>
        <v/>
      </c>
      <c r="L109" s="117"/>
      <c r="M109" s="451">
        <f t="shared" si="21"/>
        <v>0</v>
      </c>
      <c r="N109" s="296"/>
      <c r="O109" s="296"/>
      <c r="P109" s="296"/>
      <c r="Q109" s="296"/>
      <c r="R109" s="296"/>
      <c r="S109" s="296"/>
      <c r="T109" s="296"/>
      <c r="U109" s="296"/>
      <c r="V109" s="763"/>
      <c r="W109" s="760"/>
      <c r="X109" s="764"/>
      <c r="Y109" s="303"/>
      <c r="Z109" s="303"/>
      <c r="AA109" s="768" t="str">
        <f>IF(Recette!F145="","",Recette!F145/Recette!C$5*Batch!K$2)</f>
        <v/>
      </c>
      <c r="AB109" s="771"/>
      <c r="AC109" s="441"/>
      <c r="AD109" s="155" t="e">
        <f t="shared" si="22"/>
        <v>#VALUE!</v>
      </c>
    </row>
    <row r="110" spans="2:30" s="292" customFormat="1" ht="17" hidden="1" customHeight="1">
      <c r="B110" s="293" t="str">
        <f>BDD!A54</f>
        <v>Hallertau Nugget</v>
      </c>
      <c r="C110" s="293"/>
      <c r="D110" s="103"/>
      <c r="E110" s="294"/>
      <c r="F110" s="295"/>
      <c r="G110" s="295"/>
      <c r="H110" s="295"/>
      <c r="I110" s="295"/>
      <c r="J110" s="76" t="str">
        <f t="shared" si="19"/>
        <v/>
      </c>
      <c r="K110" s="450" t="str">
        <f t="shared" si="20"/>
        <v/>
      </c>
      <c r="L110" s="117"/>
      <c r="M110" s="451">
        <f t="shared" si="21"/>
        <v>0</v>
      </c>
      <c r="N110" s="296"/>
      <c r="O110" s="296"/>
      <c r="P110" s="296"/>
      <c r="Q110" s="296"/>
      <c r="R110" s="296"/>
      <c r="S110" s="296"/>
      <c r="T110" s="296"/>
      <c r="U110" s="296"/>
      <c r="V110" s="763"/>
      <c r="W110" s="760"/>
      <c r="X110" s="764"/>
      <c r="Y110" s="303"/>
      <c r="Z110" s="303"/>
      <c r="AA110" s="768" t="str">
        <f>IF(Recette!F146="","",Recette!F146/Recette!C$5*Batch!K$2)</f>
        <v/>
      </c>
      <c r="AB110" s="771"/>
      <c r="AC110" s="441"/>
      <c r="AD110" s="155" t="e">
        <f t="shared" si="22"/>
        <v>#VALUE!</v>
      </c>
    </row>
    <row r="111" spans="2:30" s="292" customFormat="1" ht="17" hidden="1" customHeight="1">
      <c r="B111" s="293" t="str">
        <f>BDD!A55</f>
        <v>Hallertau Perle</v>
      </c>
      <c r="C111" s="293"/>
      <c r="D111" s="103"/>
      <c r="E111" s="294"/>
      <c r="F111" s="295"/>
      <c r="G111" s="295"/>
      <c r="H111" s="295"/>
      <c r="I111" s="295"/>
      <c r="J111" s="76" t="str">
        <f t="shared" si="19"/>
        <v/>
      </c>
      <c r="K111" s="450" t="str">
        <f t="shared" si="20"/>
        <v/>
      </c>
      <c r="L111" s="117"/>
      <c r="M111" s="451">
        <f t="shared" si="21"/>
        <v>0</v>
      </c>
      <c r="N111" s="296"/>
      <c r="O111" s="296"/>
      <c r="P111" s="296"/>
      <c r="Q111" s="296"/>
      <c r="R111" s="296"/>
      <c r="S111" s="296"/>
      <c r="T111" s="296"/>
      <c r="U111" s="296"/>
      <c r="V111" s="763"/>
      <c r="W111" s="760"/>
      <c r="X111" s="764"/>
      <c r="Y111" s="303"/>
      <c r="Z111" s="303"/>
      <c r="AA111" s="768" t="str">
        <f>IF(Recette!F147="","",Recette!F147/Recette!C$5*Batch!K$2)</f>
        <v/>
      </c>
      <c r="AB111" s="771"/>
      <c r="AC111" s="441"/>
      <c r="AD111" s="155" t="e">
        <f t="shared" si="22"/>
        <v>#VALUE!</v>
      </c>
    </row>
    <row r="112" spans="2:30" s="292" customFormat="1" ht="17" hidden="1" customHeight="1">
      <c r="B112" s="293" t="str">
        <f>BDD!A56</f>
        <v>Hallertau tradition</v>
      </c>
      <c r="C112" s="293"/>
      <c r="D112" s="103"/>
      <c r="E112" s="294"/>
      <c r="F112" s="295"/>
      <c r="G112" s="295"/>
      <c r="H112" s="295"/>
      <c r="I112" s="295"/>
      <c r="J112" s="76" t="str">
        <f t="shared" si="19"/>
        <v/>
      </c>
      <c r="K112" s="450" t="str">
        <f t="shared" si="20"/>
        <v/>
      </c>
      <c r="L112" s="117"/>
      <c r="M112" s="451">
        <f t="shared" si="21"/>
        <v>0</v>
      </c>
      <c r="N112" s="296"/>
      <c r="O112" s="296"/>
      <c r="P112" s="296"/>
      <c r="Q112" s="296"/>
      <c r="R112" s="296"/>
      <c r="S112" s="296"/>
      <c r="T112" s="296"/>
      <c r="U112" s="296"/>
      <c r="V112" s="763"/>
      <c r="W112" s="760"/>
      <c r="X112" s="764"/>
      <c r="Y112" s="303"/>
      <c r="Z112" s="303"/>
      <c r="AA112" s="768" t="str">
        <f>IF(Recette!F148="","",Recette!F148/Recette!C$5*Batch!K$2)</f>
        <v/>
      </c>
      <c r="AB112" s="771"/>
      <c r="AC112" s="441"/>
      <c r="AD112" s="155" t="e">
        <f t="shared" si="22"/>
        <v>#VALUE!</v>
      </c>
    </row>
    <row r="113" spans="2:30" s="292" customFormat="1" ht="17" hidden="1" customHeight="1">
      <c r="B113" s="293" t="str">
        <f>BDD!A57</f>
        <v>Hercule</v>
      </c>
      <c r="C113" s="293"/>
      <c r="D113" s="103"/>
      <c r="E113" s="294"/>
      <c r="F113" s="295"/>
      <c r="G113" s="295"/>
      <c r="H113" s="295"/>
      <c r="I113" s="295"/>
      <c r="J113" s="76" t="str">
        <f t="shared" si="19"/>
        <v/>
      </c>
      <c r="K113" s="450" t="str">
        <f t="shared" si="20"/>
        <v/>
      </c>
      <c r="L113" s="117"/>
      <c r="M113" s="451">
        <f t="shared" si="21"/>
        <v>0</v>
      </c>
      <c r="N113" s="296"/>
      <c r="O113" s="296"/>
      <c r="P113" s="296"/>
      <c r="Q113" s="296"/>
      <c r="R113" s="296"/>
      <c r="S113" s="296"/>
      <c r="T113" s="296"/>
      <c r="U113" s="296"/>
      <c r="V113" s="763"/>
      <c r="W113" s="760"/>
      <c r="X113" s="764"/>
      <c r="Y113" s="303"/>
      <c r="Z113" s="303"/>
      <c r="AA113" s="768" t="str">
        <f>IF(Recette!F149="","",Recette!F149/Recette!C$5*Batch!K$2)</f>
        <v/>
      </c>
      <c r="AB113" s="771"/>
      <c r="AC113" s="441"/>
      <c r="AD113" s="155" t="e">
        <f t="shared" si="22"/>
        <v>#VALUE!</v>
      </c>
    </row>
    <row r="114" spans="2:30" s="292" customFormat="1" ht="17" hidden="1" customHeight="1">
      <c r="B114" s="293" t="str">
        <f>BDD!A58</f>
        <v>Liberty</v>
      </c>
      <c r="C114" s="293"/>
      <c r="D114" s="103"/>
      <c r="E114" s="294"/>
      <c r="F114" s="295"/>
      <c r="G114" s="295"/>
      <c r="H114" s="295"/>
      <c r="I114" s="295"/>
      <c r="J114" s="76" t="str">
        <f t="shared" si="19"/>
        <v/>
      </c>
      <c r="K114" s="450" t="str">
        <f t="shared" si="20"/>
        <v/>
      </c>
      <c r="L114" s="117"/>
      <c r="M114" s="451">
        <f t="shared" si="21"/>
        <v>0</v>
      </c>
      <c r="N114" s="296"/>
      <c r="O114" s="296"/>
      <c r="P114" s="296"/>
      <c r="Q114" s="296"/>
      <c r="R114" s="296"/>
      <c r="S114" s="296"/>
      <c r="T114" s="296"/>
      <c r="U114" s="296"/>
      <c r="V114" s="763"/>
      <c r="W114" s="760"/>
      <c r="X114" s="764"/>
      <c r="Y114" s="303"/>
      <c r="Z114" s="303"/>
      <c r="AA114" s="768" t="str">
        <f>IF(Recette!F150="","",Recette!F150/Recette!C$5*Batch!K$2)</f>
        <v/>
      </c>
      <c r="AB114" s="771"/>
      <c r="AC114" s="441"/>
      <c r="AD114" s="155" t="e">
        <f t="shared" si="22"/>
        <v>#VALUE!</v>
      </c>
    </row>
    <row r="115" spans="2:30" s="292" customFormat="1" ht="17" hidden="1" customHeight="1">
      <c r="B115" s="293" t="str">
        <f>BDD!A59</f>
        <v>Magnum</v>
      </c>
      <c r="C115" s="293"/>
      <c r="D115" s="103"/>
      <c r="E115" s="294"/>
      <c r="F115" s="295"/>
      <c r="G115" s="295"/>
      <c r="H115" s="295"/>
      <c r="I115" s="295"/>
      <c r="J115" s="76" t="str">
        <f t="shared" si="19"/>
        <v/>
      </c>
      <c r="K115" s="450" t="str">
        <f t="shared" si="20"/>
        <v/>
      </c>
      <c r="L115" s="117"/>
      <c r="M115" s="451">
        <f t="shared" si="21"/>
        <v>0</v>
      </c>
      <c r="N115" s="296"/>
      <c r="O115" s="296"/>
      <c r="P115" s="296"/>
      <c r="Q115" s="296"/>
      <c r="R115" s="296"/>
      <c r="S115" s="296"/>
      <c r="T115" s="296"/>
      <c r="U115" s="296"/>
      <c r="V115" s="763"/>
      <c r="W115" s="760"/>
      <c r="X115" s="764"/>
      <c r="Y115" s="303"/>
      <c r="Z115" s="303"/>
      <c r="AA115" s="768" t="str">
        <f>IF(Recette!F151="","",Recette!F151/Recette!C$5*Batch!K$2)</f>
        <v/>
      </c>
      <c r="AB115" s="771"/>
      <c r="AC115" s="441"/>
      <c r="AD115" s="155" t="e">
        <f t="shared" si="22"/>
        <v>#VALUE!</v>
      </c>
    </row>
    <row r="116" spans="2:30" s="292" customFormat="1" ht="17" hidden="1" customHeight="1">
      <c r="B116" s="293" t="str">
        <f>BDD!A60</f>
        <v>Mandarina Bavaria</v>
      </c>
      <c r="C116" s="293"/>
      <c r="D116" s="103"/>
      <c r="E116" s="294"/>
      <c r="F116" s="295"/>
      <c r="G116" s="295"/>
      <c r="H116" s="295"/>
      <c r="I116" s="295"/>
      <c r="J116" s="76" t="str">
        <f t="shared" si="19"/>
        <v/>
      </c>
      <c r="K116" s="450" t="str">
        <f t="shared" si="20"/>
        <v/>
      </c>
      <c r="L116" s="117"/>
      <c r="M116" s="451">
        <f t="shared" si="21"/>
        <v>0</v>
      </c>
      <c r="N116" s="296"/>
      <c r="O116" s="296"/>
      <c r="P116" s="296"/>
      <c r="Q116" s="296"/>
      <c r="R116" s="296"/>
      <c r="S116" s="296"/>
      <c r="T116" s="296"/>
      <c r="U116" s="296"/>
      <c r="V116" s="763"/>
      <c r="W116" s="760"/>
      <c r="X116" s="764"/>
      <c r="Y116" s="303"/>
      <c r="Z116" s="303"/>
      <c r="AA116" s="768" t="str">
        <f>IF(Recette!F152="","",Recette!F152/Recette!C$5*Batch!K$2)</f>
        <v/>
      </c>
      <c r="AB116" s="771"/>
      <c r="AC116" s="441"/>
      <c r="AD116" s="155" t="e">
        <f t="shared" si="22"/>
        <v>#VALUE!</v>
      </c>
    </row>
    <row r="117" spans="2:30" s="292" customFormat="1" ht="17" hidden="1" customHeight="1">
      <c r="B117" s="293" t="str">
        <f>BDD!A61</f>
        <v>Mandarina Bavaria Suisse</v>
      </c>
      <c r="C117" s="293"/>
      <c r="D117" s="103"/>
      <c r="E117" s="294"/>
      <c r="F117" s="295"/>
      <c r="G117" s="295"/>
      <c r="H117" s="295"/>
      <c r="I117" s="295"/>
      <c r="J117" s="76" t="str">
        <f t="shared" si="19"/>
        <v/>
      </c>
      <c r="K117" s="450" t="str">
        <f t="shared" si="20"/>
        <v/>
      </c>
      <c r="L117" s="117"/>
      <c r="M117" s="451">
        <f t="shared" si="21"/>
        <v>0</v>
      </c>
      <c r="N117" s="296"/>
      <c r="O117" s="296"/>
      <c r="P117" s="296"/>
      <c r="Q117" s="296"/>
      <c r="R117" s="296"/>
      <c r="S117" s="296"/>
      <c r="T117" s="296"/>
      <c r="U117" s="296"/>
      <c r="V117" s="763"/>
      <c r="W117" s="760"/>
      <c r="X117" s="764"/>
      <c r="Y117" s="303"/>
      <c r="Z117" s="303"/>
      <c r="AA117" s="768" t="str">
        <f>IF(Recette!F153="","",Recette!F153/Recette!C$5*Batch!K$2)</f>
        <v/>
      </c>
      <c r="AB117" s="771"/>
      <c r="AC117" s="441"/>
      <c r="AD117" s="155" t="e">
        <f t="shared" si="22"/>
        <v>#VALUE!</v>
      </c>
    </row>
    <row r="118" spans="2:30" s="292" customFormat="1" ht="17" hidden="1" customHeight="1">
      <c r="B118" s="293" t="str">
        <f>BDD!A62</f>
        <v>Melon</v>
      </c>
      <c r="C118" s="293"/>
      <c r="D118" s="103"/>
      <c r="E118" s="294"/>
      <c r="F118" s="295"/>
      <c r="G118" s="295"/>
      <c r="H118" s="295"/>
      <c r="I118" s="295"/>
      <c r="J118" s="76" t="str">
        <f t="shared" si="19"/>
        <v/>
      </c>
      <c r="K118" s="450" t="str">
        <f t="shared" si="20"/>
        <v/>
      </c>
      <c r="L118" s="117"/>
      <c r="M118" s="451">
        <f t="shared" si="21"/>
        <v>0</v>
      </c>
      <c r="N118" s="296"/>
      <c r="O118" s="296"/>
      <c r="P118" s="296"/>
      <c r="Q118" s="296"/>
      <c r="R118" s="296"/>
      <c r="S118" s="296"/>
      <c r="T118" s="296"/>
      <c r="U118" s="296"/>
      <c r="V118" s="763"/>
      <c r="W118" s="760"/>
      <c r="X118" s="764"/>
      <c r="Y118" s="303"/>
      <c r="Z118" s="303"/>
      <c r="AA118" s="768" t="str">
        <f>IF(Recette!F154="","",Recette!F154/Recette!C$5*Batch!K$2)</f>
        <v/>
      </c>
      <c r="AB118" s="771"/>
      <c r="AC118" s="441"/>
      <c r="AD118" s="155" t="e">
        <f t="shared" si="22"/>
        <v>#VALUE!</v>
      </c>
    </row>
    <row r="119" spans="2:30" s="292" customFormat="1" ht="17" hidden="1" customHeight="1">
      <c r="B119" s="293" t="str">
        <f>BDD!A63</f>
        <v>Mosaic</v>
      </c>
      <c r="C119" s="293"/>
      <c r="D119" s="103"/>
      <c r="E119" s="294"/>
      <c r="F119" s="295"/>
      <c r="G119" s="295"/>
      <c r="H119" s="295"/>
      <c r="I119" s="295"/>
      <c r="J119" s="76" t="str">
        <f t="shared" si="19"/>
        <v/>
      </c>
      <c r="K119" s="450" t="str">
        <f t="shared" si="20"/>
        <v/>
      </c>
      <c r="L119" s="117"/>
      <c r="M119" s="451">
        <f t="shared" si="21"/>
        <v>0</v>
      </c>
      <c r="N119" s="296"/>
      <c r="O119" s="296"/>
      <c r="P119" s="296"/>
      <c r="Q119" s="296"/>
      <c r="R119" s="296"/>
      <c r="S119" s="296"/>
      <c r="T119" s="296"/>
      <c r="U119" s="296"/>
      <c r="V119" s="763"/>
      <c r="W119" s="760"/>
      <c r="X119" s="764"/>
      <c r="Y119" s="303"/>
      <c r="Z119" s="303"/>
      <c r="AA119" s="768" t="str">
        <f>IF(Recette!F155="","",Recette!F155/Recette!C$5*Batch!K$2)</f>
        <v/>
      </c>
      <c r="AB119" s="771"/>
      <c r="AC119" s="441"/>
      <c r="AD119" s="155" t="e">
        <f t="shared" si="22"/>
        <v>#VALUE!</v>
      </c>
    </row>
    <row r="120" spans="2:30" s="292" customFormat="1" ht="17" hidden="1" customHeight="1">
      <c r="B120" s="293" t="str">
        <f>BDD!A64</f>
        <v>Nelson Sauvin</v>
      </c>
      <c r="C120" s="293"/>
      <c r="D120" s="103"/>
      <c r="E120" s="294"/>
      <c r="F120" s="295"/>
      <c r="G120" s="295"/>
      <c r="H120" s="295"/>
      <c r="I120" s="295"/>
      <c r="J120" s="76" t="str">
        <f t="shared" si="19"/>
        <v/>
      </c>
      <c r="K120" s="450" t="str">
        <f t="shared" si="20"/>
        <v/>
      </c>
      <c r="L120" s="117"/>
      <c r="M120" s="451">
        <f t="shared" si="21"/>
        <v>0</v>
      </c>
      <c r="N120" s="296"/>
      <c r="O120" s="296"/>
      <c r="P120" s="296"/>
      <c r="Q120" s="296"/>
      <c r="R120" s="296"/>
      <c r="S120" s="296"/>
      <c r="T120" s="296"/>
      <c r="U120" s="296"/>
      <c r="V120" s="763"/>
      <c r="W120" s="760"/>
      <c r="X120" s="764"/>
      <c r="Y120" s="303"/>
      <c r="Z120" s="303"/>
      <c r="AA120" s="768" t="str">
        <f>IF(Recette!F156="","",Recette!F156/Recette!C$5*Batch!K$2)</f>
        <v/>
      </c>
      <c r="AB120" s="771"/>
      <c r="AC120" s="441"/>
      <c r="AD120" s="155" t="e">
        <f t="shared" si="22"/>
        <v>#VALUE!</v>
      </c>
    </row>
    <row r="121" spans="2:30" s="292" customFormat="1" ht="17" hidden="1" customHeight="1">
      <c r="B121" s="293" t="str">
        <f>BDD!A65</f>
        <v>Nelson Sauvin Bio</v>
      </c>
      <c r="C121" s="293"/>
      <c r="D121" s="103"/>
      <c r="E121" s="294"/>
      <c r="F121" s="295"/>
      <c r="G121" s="295"/>
      <c r="H121" s="295"/>
      <c r="I121" s="295"/>
      <c r="J121" s="76" t="str">
        <f t="shared" si="19"/>
        <v/>
      </c>
      <c r="K121" s="450" t="str">
        <f t="shared" si="20"/>
        <v/>
      </c>
      <c r="L121" s="117"/>
      <c r="M121" s="451">
        <f t="shared" si="21"/>
        <v>0</v>
      </c>
      <c r="N121" s="296"/>
      <c r="O121" s="296"/>
      <c r="P121" s="296"/>
      <c r="Q121" s="296"/>
      <c r="R121" s="296"/>
      <c r="S121" s="296"/>
      <c r="T121" s="296"/>
      <c r="U121" s="296"/>
      <c r="V121" s="763"/>
      <c r="W121" s="760"/>
      <c r="X121" s="764"/>
      <c r="Y121" s="303"/>
      <c r="Z121" s="303"/>
      <c r="AA121" s="768" t="str">
        <f>IF(Recette!F157="","",Recette!F157/Recette!C$5*Batch!K$2)</f>
        <v/>
      </c>
      <c r="AB121" s="771"/>
      <c r="AC121" s="441"/>
      <c r="AD121" s="155" t="e">
        <f t="shared" si="22"/>
        <v>#VALUE!</v>
      </c>
    </row>
    <row r="122" spans="2:30" s="292" customFormat="1" ht="17" hidden="1" customHeight="1">
      <c r="B122" s="293" t="str">
        <f>BDD!A66</f>
        <v>Northern brewer</v>
      </c>
      <c r="C122" s="293"/>
      <c r="D122" s="103"/>
      <c r="E122" s="294"/>
      <c r="F122" s="295"/>
      <c r="G122" s="295"/>
      <c r="H122" s="295"/>
      <c r="I122" s="295"/>
      <c r="J122" s="76" t="str">
        <f t="shared" si="19"/>
        <v/>
      </c>
      <c r="K122" s="450" t="str">
        <f t="shared" si="20"/>
        <v/>
      </c>
      <c r="L122" s="117"/>
      <c r="M122" s="451">
        <f t="shared" si="21"/>
        <v>0</v>
      </c>
      <c r="N122" s="296"/>
      <c r="O122" s="296"/>
      <c r="P122" s="296"/>
      <c r="Q122" s="296"/>
      <c r="R122" s="296"/>
      <c r="S122" s="296"/>
      <c r="T122" s="296"/>
      <c r="U122" s="296"/>
      <c r="V122" s="763"/>
      <c r="W122" s="760"/>
      <c r="X122" s="764"/>
      <c r="Y122" s="303"/>
      <c r="Z122" s="303"/>
      <c r="AA122" s="768" t="str">
        <f>IF(Recette!F158="","",Recette!F158/Recette!C$5*Batch!K$2)</f>
        <v/>
      </c>
      <c r="AB122" s="771"/>
      <c r="AC122" s="441"/>
      <c r="AD122" s="155" t="e">
        <f t="shared" si="22"/>
        <v>#VALUE!</v>
      </c>
    </row>
    <row r="123" spans="2:30" s="292" customFormat="1" ht="17" hidden="1" customHeight="1">
      <c r="B123" s="293" t="str">
        <f>BDD!A67</f>
        <v>Polaris</v>
      </c>
      <c r="C123" s="293"/>
      <c r="D123" s="103"/>
      <c r="E123" s="294"/>
      <c r="F123" s="295"/>
      <c r="G123" s="295"/>
      <c r="H123" s="295"/>
      <c r="I123" s="295"/>
      <c r="J123" s="76" t="str">
        <f t="shared" ref="J123:J146" si="23">IF(F123="","",(F123*E123*(1.65*(0.000125^(($F$76/1000)-1)))*((1-EXP(-0.04*($D$80-$E$81)))/4.15)*1000)/(K$2*(1+((($F$76/1000)-1.05)/0.2))))</f>
        <v/>
      </c>
      <c r="K123" s="450" t="str">
        <f t="shared" ref="K123:K146" si="24">IF(G123="","",(E123*G123*(1.65*(0.000125^(($K$77/1000)-1)))*((1-EXP(-0.04*($D$80-$F$81)))/4.15)*1000)/(K$2*(1+((($K$77/1000)-1.05)/0.2))))</f>
        <v/>
      </c>
      <c r="L123" s="117"/>
      <c r="M123" s="451">
        <f t="shared" ref="M123:M146" si="25">($E123*I123*1000/$K$2)*(1.65*0.000125^(($AD$21/1000)-1))*((1-2.71828^(-0.04*($D$80-H$81)))/4.15)</f>
        <v>0</v>
      </c>
      <c r="N123" s="296"/>
      <c r="O123" s="296"/>
      <c r="P123" s="296"/>
      <c r="Q123" s="296"/>
      <c r="R123" s="296"/>
      <c r="S123" s="296"/>
      <c r="T123" s="296"/>
      <c r="U123" s="296"/>
      <c r="V123" s="763"/>
      <c r="W123" s="760"/>
      <c r="X123" s="764"/>
      <c r="Y123" s="303"/>
      <c r="Z123" s="303"/>
      <c r="AA123" s="768" t="str">
        <f>IF(Recette!F159="","",Recette!F159/Recette!C$5*Batch!K$2)</f>
        <v/>
      </c>
      <c r="AB123" s="771"/>
      <c r="AC123" s="441"/>
      <c r="AD123" s="155" t="e">
        <f t="shared" si="22"/>
        <v>#VALUE!</v>
      </c>
    </row>
    <row r="124" spans="2:30" s="292" customFormat="1" ht="17" hidden="1" customHeight="1">
      <c r="B124" s="293" t="str">
        <f>BDD!A68</f>
        <v>Saaz</v>
      </c>
      <c r="C124" s="293"/>
      <c r="D124" s="103"/>
      <c r="E124" s="294"/>
      <c r="F124" s="295"/>
      <c r="G124" s="295"/>
      <c r="H124" s="295"/>
      <c r="I124" s="295"/>
      <c r="J124" s="76" t="str">
        <f t="shared" si="23"/>
        <v/>
      </c>
      <c r="K124" s="450" t="str">
        <f t="shared" si="24"/>
        <v/>
      </c>
      <c r="L124" s="117"/>
      <c r="M124" s="451">
        <f t="shared" si="25"/>
        <v>0</v>
      </c>
      <c r="N124" s="296"/>
      <c r="O124" s="296"/>
      <c r="P124" s="296"/>
      <c r="Q124" s="296"/>
      <c r="R124" s="296"/>
      <c r="S124" s="296"/>
      <c r="T124" s="296"/>
      <c r="U124" s="296"/>
      <c r="V124" s="763"/>
      <c r="W124" s="760"/>
      <c r="X124" s="764"/>
      <c r="Y124" s="303"/>
      <c r="Z124" s="303"/>
      <c r="AA124" s="768" t="str">
        <f>IF(Recette!F160="","",Recette!F160/Recette!C$5*Batch!K$2)</f>
        <v/>
      </c>
      <c r="AB124" s="771"/>
      <c r="AC124" s="441"/>
      <c r="AD124" s="155" t="e">
        <f t="shared" si="22"/>
        <v>#VALUE!</v>
      </c>
    </row>
    <row r="125" spans="2:30" s="292" customFormat="1" ht="17" hidden="1" customHeight="1">
      <c r="B125" s="293" t="str">
        <f>BDD!A69</f>
        <v>Safir</v>
      </c>
      <c r="C125" s="293"/>
      <c r="D125" s="103"/>
      <c r="E125" s="294"/>
      <c r="F125" s="295"/>
      <c r="G125" s="295"/>
      <c r="H125" s="295"/>
      <c r="I125" s="295"/>
      <c r="J125" s="76" t="str">
        <f t="shared" si="23"/>
        <v/>
      </c>
      <c r="K125" s="450" t="str">
        <f t="shared" si="24"/>
        <v/>
      </c>
      <c r="L125" s="117"/>
      <c r="M125" s="451">
        <f t="shared" si="25"/>
        <v>0</v>
      </c>
      <c r="N125" s="296"/>
      <c r="O125" s="296"/>
      <c r="P125" s="296"/>
      <c r="Q125" s="296"/>
      <c r="R125" s="296"/>
      <c r="S125" s="296"/>
      <c r="T125" s="296"/>
      <c r="U125" s="296"/>
      <c r="V125" s="763"/>
      <c r="W125" s="760"/>
      <c r="X125" s="764"/>
      <c r="Y125" s="303"/>
      <c r="Z125" s="303"/>
      <c r="AA125" s="768" t="str">
        <f>IF(Recette!F161="","",Recette!F161/Recette!C$5*Batch!K$2)</f>
        <v/>
      </c>
      <c r="AB125" s="771"/>
      <c r="AC125" s="441"/>
      <c r="AD125" s="155" t="e">
        <f t="shared" ref="AD125:AD146" si="26">(AA125*AB125)/K42/10</f>
        <v>#VALUE!</v>
      </c>
    </row>
    <row r="126" spans="2:30" s="292" customFormat="1" ht="17" hidden="1" customHeight="1">
      <c r="B126" s="293" t="str">
        <f>BDD!A70</f>
        <v>Sorachi ace</v>
      </c>
      <c r="C126" s="293"/>
      <c r="D126" s="103"/>
      <c r="E126" s="294"/>
      <c r="F126" s="295"/>
      <c r="G126" s="295"/>
      <c r="H126" s="295"/>
      <c r="I126" s="295"/>
      <c r="J126" s="76" t="str">
        <f t="shared" si="23"/>
        <v/>
      </c>
      <c r="K126" s="450" t="str">
        <f t="shared" si="24"/>
        <v/>
      </c>
      <c r="L126" s="117"/>
      <c r="M126" s="451">
        <f t="shared" si="25"/>
        <v>0</v>
      </c>
      <c r="N126" s="296"/>
      <c r="O126" s="296"/>
      <c r="P126" s="296"/>
      <c r="Q126" s="296"/>
      <c r="R126" s="296"/>
      <c r="S126" s="296"/>
      <c r="T126" s="296"/>
      <c r="U126" s="296"/>
      <c r="V126" s="763"/>
      <c r="W126" s="760"/>
      <c r="X126" s="764"/>
      <c r="Y126" s="303"/>
      <c r="Z126" s="303"/>
      <c r="AA126" s="768" t="str">
        <f>IF(Recette!F162="","",Recette!F162/Recette!C$5*Batch!K$2)</f>
        <v/>
      </c>
      <c r="AB126" s="771"/>
      <c r="AC126" s="441"/>
      <c r="AD126" s="155" t="e">
        <f t="shared" si="26"/>
        <v>#VALUE!</v>
      </c>
    </row>
    <row r="127" spans="2:30" s="292" customFormat="1" ht="17" hidden="1" customHeight="1">
      <c r="B127" s="293" t="str">
        <f>BDD!A71</f>
        <v>Simcoe</v>
      </c>
      <c r="C127" s="293"/>
      <c r="D127" s="103"/>
      <c r="E127" s="294"/>
      <c r="F127" s="295"/>
      <c r="G127" s="295"/>
      <c r="H127" s="295"/>
      <c r="I127" s="295"/>
      <c r="J127" s="76" t="str">
        <f t="shared" si="23"/>
        <v/>
      </c>
      <c r="K127" s="450" t="str">
        <f t="shared" si="24"/>
        <v/>
      </c>
      <c r="L127" s="117"/>
      <c r="M127" s="451">
        <f t="shared" si="25"/>
        <v>0</v>
      </c>
      <c r="N127" s="296"/>
      <c r="O127" s="296"/>
      <c r="P127" s="296"/>
      <c r="Q127" s="296"/>
      <c r="R127" s="296"/>
      <c r="S127" s="296"/>
      <c r="T127" s="296"/>
      <c r="U127" s="296"/>
      <c r="V127" s="763"/>
      <c r="W127" s="760"/>
      <c r="X127" s="764"/>
      <c r="Y127" s="303"/>
      <c r="Z127" s="303"/>
      <c r="AA127" s="768" t="str">
        <f>IF(Recette!F163="","",Recette!F163/Recette!C$5*Batch!K$2)</f>
        <v/>
      </c>
      <c r="AB127" s="771"/>
      <c r="AC127" s="441"/>
      <c r="AD127" s="155" t="e">
        <f t="shared" si="26"/>
        <v>#VALUE!</v>
      </c>
    </row>
    <row r="128" spans="2:30" s="292" customFormat="1" ht="17" hidden="1" customHeight="1">
      <c r="B128" s="293" t="str">
        <f>BDD!A72</f>
        <v>Spalt select</v>
      </c>
      <c r="C128" s="293"/>
      <c r="D128" s="103"/>
      <c r="E128" s="294"/>
      <c r="F128" s="295"/>
      <c r="G128" s="295"/>
      <c r="H128" s="295"/>
      <c r="I128" s="295"/>
      <c r="J128" s="76" t="str">
        <f t="shared" si="23"/>
        <v/>
      </c>
      <c r="K128" s="450" t="str">
        <f t="shared" si="24"/>
        <v/>
      </c>
      <c r="L128" s="117"/>
      <c r="M128" s="451">
        <f t="shared" si="25"/>
        <v>0</v>
      </c>
      <c r="N128" s="296"/>
      <c r="O128" s="296"/>
      <c r="P128" s="296"/>
      <c r="Q128" s="296"/>
      <c r="R128" s="296"/>
      <c r="S128" s="296"/>
      <c r="T128" s="296"/>
      <c r="U128" s="296"/>
      <c r="V128" s="763"/>
      <c r="W128" s="760"/>
      <c r="X128" s="764"/>
      <c r="Y128" s="303"/>
      <c r="Z128" s="303"/>
      <c r="AA128" s="768" t="str">
        <f>IF(Recette!F164="","",Recette!F164/Recette!C$5*Batch!K$2)</f>
        <v/>
      </c>
      <c r="AB128" s="771"/>
      <c r="AC128" s="441"/>
      <c r="AD128" s="155" t="e">
        <f t="shared" si="26"/>
        <v>#VALUE!</v>
      </c>
    </row>
    <row r="129" spans="2:30" s="292" customFormat="1" ht="17" hidden="1" customHeight="1">
      <c r="B129" s="293" t="str">
        <f>BDD!A73</f>
        <v>Suisse bio pearl</v>
      </c>
      <c r="C129" s="293"/>
      <c r="D129" s="103"/>
      <c r="E129" s="294"/>
      <c r="F129" s="295"/>
      <c r="G129" s="295"/>
      <c r="H129" s="295"/>
      <c r="I129" s="295"/>
      <c r="J129" s="76" t="str">
        <f t="shared" si="23"/>
        <v/>
      </c>
      <c r="K129" s="450" t="str">
        <f t="shared" si="24"/>
        <v/>
      </c>
      <c r="L129" s="117"/>
      <c r="M129" s="451">
        <f t="shared" si="25"/>
        <v>0</v>
      </c>
      <c r="N129" s="296"/>
      <c r="O129" s="296"/>
      <c r="P129" s="296"/>
      <c r="Q129" s="296"/>
      <c r="R129" s="296"/>
      <c r="S129" s="296"/>
      <c r="T129" s="296"/>
      <c r="U129" s="296"/>
      <c r="V129" s="763"/>
      <c r="W129" s="760"/>
      <c r="X129" s="764"/>
      <c r="Y129" s="303"/>
      <c r="Z129" s="303"/>
      <c r="AA129" s="768" t="str">
        <f>IF(Recette!F165="","",Recette!F165/Recette!C$5*Batch!K$2)</f>
        <v/>
      </c>
      <c r="AB129" s="771"/>
      <c r="AC129" s="441"/>
      <c r="AD129" s="155" t="e">
        <f t="shared" si="26"/>
        <v>#VALUE!</v>
      </c>
    </row>
    <row r="130" spans="2:30" s="292" customFormat="1" ht="17" hidden="1" customHeight="1">
      <c r="B130" s="293" t="str">
        <f>BDD!A74</f>
        <v>Summit</v>
      </c>
      <c r="C130" s="293"/>
      <c r="D130" s="103"/>
      <c r="E130" s="294"/>
      <c r="F130" s="295"/>
      <c r="G130" s="295"/>
      <c r="H130" s="295"/>
      <c r="I130" s="295"/>
      <c r="J130" s="76" t="str">
        <f t="shared" si="23"/>
        <v/>
      </c>
      <c r="K130" s="450" t="str">
        <f t="shared" si="24"/>
        <v/>
      </c>
      <c r="L130" s="117"/>
      <c r="M130" s="451">
        <f t="shared" si="25"/>
        <v>0</v>
      </c>
      <c r="N130" s="296"/>
      <c r="O130" s="296"/>
      <c r="P130" s="296"/>
      <c r="Q130" s="296"/>
      <c r="R130" s="296"/>
      <c r="S130" s="296"/>
      <c r="T130" s="296"/>
      <c r="U130" s="296"/>
      <c r="V130" s="763"/>
      <c r="W130" s="760"/>
      <c r="X130" s="764"/>
      <c r="Y130" s="303"/>
      <c r="Z130" s="303"/>
      <c r="AA130" s="768" t="str">
        <f>IF(Recette!F166="","",Recette!F166/Recette!C$5*Batch!K$2)</f>
        <v/>
      </c>
      <c r="AB130" s="771"/>
      <c r="AC130" s="441"/>
      <c r="AD130" s="155" t="e">
        <f t="shared" si="26"/>
        <v>#VALUE!</v>
      </c>
    </row>
    <row r="131" spans="2:30" s="292" customFormat="1" ht="17" hidden="1" customHeight="1">
      <c r="B131" s="293" t="str">
        <f>BDD!A75</f>
        <v>Styrian goldings</v>
      </c>
      <c r="C131" s="293"/>
      <c r="D131" s="103"/>
      <c r="E131" s="294"/>
      <c r="F131" s="295"/>
      <c r="G131" s="295"/>
      <c r="H131" s="295"/>
      <c r="I131" s="295"/>
      <c r="J131" s="76" t="str">
        <f t="shared" si="23"/>
        <v/>
      </c>
      <c r="K131" s="450" t="str">
        <f t="shared" si="24"/>
        <v/>
      </c>
      <c r="L131" s="117"/>
      <c r="M131" s="451">
        <f t="shared" si="25"/>
        <v>0</v>
      </c>
      <c r="N131" s="296"/>
      <c r="O131" s="296"/>
      <c r="P131" s="296"/>
      <c r="Q131" s="296"/>
      <c r="R131" s="296"/>
      <c r="S131" s="296"/>
      <c r="T131" s="296"/>
      <c r="U131" s="296"/>
      <c r="V131" s="763"/>
      <c r="W131" s="760"/>
      <c r="X131" s="764"/>
      <c r="Y131" s="303"/>
      <c r="Z131" s="303"/>
      <c r="AA131" s="768" t="str">
        <f>IF(Recette!F167="","",Recette!F167/Recette!C$5*Batch!K$2)</f>
        <v/>
      </c>
      <c r="AB131" s="771"/>
      <c r="AC131" s="441"/>
      <c r="AD131" s="155" t="e">
        <f t="shared" si="26"/>
        <v>#VALUE!</v>
      </c>
    </row>
    <row r="132" spans="2:30" s="292" customFormat="1" ht="17" hidden="1" customHeight="1">
      <c r="B132" s="293" t="str">
        <f>BDD!A76</f>
        <v>Target</v>
      </c>
      <c r="C132" s="293"/>
      <c r="D132" s="103"/>
      <c r="E132" s="294"/>
      <c r="F132" s="295"/>
      <c r="G132" s="295"/>
      <c r="H132" s="295"/>
      <c r="I132" s="295"/>
      <c r="J132" s="76" t="str">
        <f t="shared" si="23"/>
        <v/>
      </c>
      <c r="K132" s="450" t="str">
        <f t="shared" si="24"/>
        <v/>
      </c>
      <c r="L132" s="117"/>
      <c r="M132" s="451">
        <f t="shared" si="25"/>
        <v>0</v>
      </c>
      <c r="N132" s="296"/>
      <c r="O132" s="296"/>
      <c r="P132" s="296"/>
      <c r="Q132" s="296"/>
      <c r="R132" s="296"/>
      <c r="S132" s="296"/>
      <c r="T132" s="296"/>
      <c r="U132" s="296"/>
      <c r="V132" s="763"/>
      <c r="W132" s="760"/>
      <c r="X132" s="764"/>
      <c r="Y132" s="303"/>
      <c r="Z132" s="303"/>
      <c r="AA132" s="768" t="str">
        <f>IF(Recette!F168="","",Recette!F168/Recette!C$5*Batch!K$2)</f>
        <v/>
      </c>
      <c r="AB132" s="771"/>
      <c r="AC132" s="441"/>
      <c r="AD132" s="155" t="e">
        <f t="shared" si="26"/>
        <v>#VALUE!</v>
      </c>
    </row>
    <row r="133" spans="2:30" s="292" customFormat="1" ht="17" hidden="1" customHeight="1">
      <c r="B133" s="293" t="str">
        <f>BDD!A77</f>
        <v>Tettnanger</v>
      </c>
      <c r="C133" s="293"/>
      <c r="D133" s="103"/>
      <c r="E133" s="294"/>
      <c r="F133" s="295"/>
      <c r="G133" s="295"/>
      <c r="H133" s="295"/>
      <c r="I133" s="295"/>
      <c r="J133" s="76" t="str">
        <f t="shared" si="23"/>
        <v/>
      </c>
      <c r="K133" s="450" t="str">
        <f t="shared" si="24"/>
        <v/>
      </c>
      <c r="L133" s="117"/>
      <c r="M133" s="451">
        <f t="shared" si="25"/>
        <v>0</v>
      </c>
      <c r="N133" s="296"/>
      <c r="O133" s="296"/>
      <c r="P133" s="296"/>
      <c r="Q133" s="296"/>
      <c r="R133" s="296"/>
      <c r="S133" s="296"/>
      <c r="T133" s="296"/>
      <c r="U133" s="296"/>
      <c r="V133" s="763"/>
      <c r="W133" s="760"/>
      <c r="X133" s="764"/>
      <c r="Y133" s="303"/>
      <c r="Z133" s="303"/>
      <c r="AA133" s="768" t="str">
        <f>IF(Recette!F169="","",Recette!F169/Recette!C$5*Batch!K$2)</f>
        <v/>
      </c>
      <c r="AB133" s="771"/>
      <c r="AC133" s="441"/>
      <c r="AD133" s="155" t="e">
        <f t="shared" si="26"/>
        <v>#VALUE!</v>
      </c>
    </row>
    <row r="134" spans="2:30" s="292" customFormat="1" ht="17" hidden="1" customHeight="1">
      <c r="B134" s="293" t="str">
        <f>BDD!A78</f>
        <v>Tomahawk</v>
      </c>
      <c r="C134" s="293"/>
      <c r="D134" s="103"/>
      <c r="E134" s="294"/>
      <c r="F134" s="295"/>
      <c r="G134" s="295"/>
      <c r="H134" s="295"/>
      <c r="I134" s="295"/>
      <c r="J134" s="76" t="str">
        <f t="shared" si="23"/>
        <v/>
      </c>
      <c r="K134" s="450" t="str">
        <f t="shared" si="24"/>
        <v/>
      </c>
      <c r="L134" s="117"/>
      <c r="M134" s="451">
        <f t="shared" si="25"/>
        <v>0</v>
      </c>
      <c r="N134" s="296"/>
      <c r="O134" s="296"/>
      <c r="P134" s="296"/>
      <c r="Q134" s="296"/>
      <c r="R134" s="296"/>
      <c r="S134" s="296"/>
      <c r="T134" s="296"/>
      <c r="U134" s="296"/>
      <c r="V134" s="763"/>
      <c r="W134" s="760"/>
      <c r="X134" s="764"/>
      <c r="Y134" s="303"/>
      <c r="Z134" s="303"/>
      <c r="AA134" s="768" t="str">
        <f>IF(Recette!F170="","",Recette!F170/Recette!C$5*Batch!K$2)</f>
        <v/>
      </c>
      <c r="AB134" s="771"/>
      <c r="AC134" s="441"/>
      <c r="AD134" s="155" t="e">
        <f t="shared" si="26"/>
        <v>#VALUE!</v>
      </c>
    </row>
    <row r="135" spans="2:30" s="292" customFormat="1" ht="17" hidden="1" customHeight="1">
      <c r="B135" s="293" t="str">
        <f>BDD!A79</f>
        <v>Willamette</v>
      </c>
      <c r="C135" s="293"/>
      <c r="D135" s="103"/>
      <c r="E135" s="294"/>
      <c r="F135" s="295"/>
      <c r="G135" s="295"/>
      <c r="H135" s="295"/>
      <c r="I135" s="295"/>
      <c r="J135" s="76" t="str">
        <f t="shared" si="23"/>
        <v/>
      </c>
      <c r="K135" s="450" t="str">
        <f t="shared" si="24"/>
        <v/>
      </c>
      <c r="L135" s="117"/>
      <c r="M135" s="451">
        <f t="shared" si="25"/>
        <v>0</v>
      </c>
      <c r="N135" s="296"/>
      <c r="O135" s="296"/>
      <c r="P135" s="296"/>
      <c r="Q135" s="296"/>
      <c r="R135" s="296"/>
      <c r="S135" s="296"/>
      <c r="T135" s="296"/>
      <c r="U135" s="296"/>
      <c r="V135" s="763"/>
      <c r="W135" s="760"/>
      <c r="X135" s="764"/>
      <c r="Y135" s="303"/>
      <c r="Z135" s="303"/>
      <c r="AA135" s="768" t="str">
        <f>IF(Recette!F171="","",Recette!F171/Recette!C$5*Batch!K$2)</f>
        <v/>
      </c>
      <c r="AB135" s="771"/>
      <c r="AC135" s="441"/>
      <c r="AD135" s="155" t="e">
        <f t="shared" si="26"/>
        <v>#VALUE!</v>
      </c>
    </row>
    <row r="136" spans="2:30" s="292" customFormat="1" ht="17" hidden="1" customHeight="1">
      <c r="B136" s="293">
        <f>BDD!A80</f>
        <v>0</v>
      </c>
      <c r="C136" s="293"/>
      <c r="D136" s="103"/>
      <c r="E136" s="294"/>
      <c r="F136" s="295"/>
      <c r="G136" s="295"/>
      <c r="H136" s="295"/>
      <c r="I136" s="295"/>
      <c r="J136" s="76" t="str">
        <f t="shared" si="23"/>
        <v/>
      </c>
      <c r="K136" s="450" t="str">
        <f t="shared" si="24"/>
        <v/>
      </c>
      <c r="L136" s="117"/>
      <c r="M136" s="451">
        <f t="shared" si="25"/>
        <v>0</v>
      </c>
      <c r="N136" s="296"/>
      <c r="O136" s="296"/>
      <c r="P136" s="296"/>
      <c r="Q136" s="296"/>
      <c r="R136" s="296"/>
      <c r="S136" s="296"/>
      <c r="T136" s="296"/>
      <c r="U136" s="296"/>
      <c r="V136" s="763"/>
      <c r="W136" s="760"/>
      <c r="X136" s="764"/>
      <c r="Y136" s="303"/>
      <c r="Z136" s="303"/>
      <c r="AA136" s="768" t="str">
        <f>IF(Recette!F172="","",Recette!F172/Recette!C$5*Batch!K$2)</f>
        <v/>
      </c>
      <c r="AB136" s="771"/>
      <c r="AC136" s="441"/>
      <c r="AD136" s="155" t="e">
        <f t="shared" si="26"/>
        <v>#VALUE!</v>
      </c>
    </row>
    <row r="137" spans="2:30" s="292" customFormat="1" ht="17" hidden="1" customHeight="1">
      <c r="B137" s="293">
        <f>BDD!A81</f>
        <v>0</v>
      </c>
      <c r="C137" s="293"/>
      <c r="D137" s="103"/>
      <c r="E137" s="294"/>
      <c r="F137" s="295"/>
      <c r="G137" s="295"/>
      <c r="H137" s="295"/>
      <c r="I137" s="295"/>
      <c r="J137" s="76" t="str">
        <f t="shared" si="23"/>
        <v/>
      </c>
      <c r="K137" s="450" t="str">
        <f t="shared" si="24"/>
        <v/>
      </c>
      <c r="L137" s="117"/>
      <c r="M137" s="451">
        <f t="shared" si="25"/>
        <v>0</v>
      </c>
      <c r="N137" s="296"/>
      <c r="O137" s="296"/>
      <c r="P137" s="296"/>
      <c r="Q137" s="296"/>
      <c r="R137" s="296"/>
      <c r="S137" s="296"/>
      <c r="T137" s="296"/>
      <c r="U137" s="296"/>
      <c r="V137" s="763"/>
      <c r="W137" s="760"/>
      <c r="X137" s="764"/>
      <c r="Y137" s="303"/>
      <c r="Z137" s="303"/>
      <c r="AA137" s="768" t="str">
        <f>IF(Recette!F173="","",Recette!F173/Recette!C$5*Batch!K$2)</f>
        <v/>
      </c>
      <c r="AB137" s="771"/>
      <c r="AC137" s="441"/>
      <c r="AD137" s="155" t="e">
        <f t="shared" si="26"/>
        <v>#VALUE!</v>
      </c>
    </row>
    <row r="138" spans="2:30" s="292" customFormat="1" ht="17" hidden="1" customHeight="1">
      <c r="B138" s="293">
        <f>BDD!A82</f>
        <v>0</v>
      </c>
      <c r="C138" s="293"/>
      <c r="D138" s="103"/>
      <c r="E138" s="294"/>
      <c r="F138" s="295"/>
      <c r="G138" s="295"/>
      <c r="H138" s="295"/>
      <c r="I138" s="295"/>
      <c r="J138" s="76" t="str">
        <f t="shared" si="23"/>
        <v/>
      </c>
      <c r="K138" s="450" t="str">
        <f t="shared" si="24"/>
        <v/>
      </c>
      <c r="L138" s="117"/>
      <c r="M138" s="451">
        <f t="shared" si="25"/>
        <v>0</v>
      </c>
      <c r="N138" s="296"/>
      <c r="O138" s="296"/>
      <c r="P138" s="296"/>
      <c r="Q138" s="296"/>
      <c r="R138" s="296"/>
      <c r="S138" s="296"/>
      <c r="T138" s="296"/>
      <c r="U138" s="296"/>
      <c r="V138" s="763"/>
      <c r="W138" s="760"/>
      <c r="X138" s="764"/>
      <c r="Y138" s="303"/>
      <c r="Z138" s="303"/>
      <c r="AA138" s="768" t="str">
        <f>IF(Recette!F174="","",Recette!F174/Recette!C$5*Batch!K$2)</f>
        <v/>
      </c>
      <c r="AB138" s="771"/>
      <c r="AC138" s="441"/>
      <c r="AD138" s="155" t="e">
        <f t="shared" si="26"/>
        <v>#VALUE!</v>
      </c>
    </row>
    <row r="139" spans="2:30" s="292" customFormat="1" ht="17" hidden="1" customHeight="1">
      <c r="B139" s="293">
        <f>BDD!A83</f>
        <v>0</v>
      </c>
      <c r="C139" s="293"/>
      <c r="D139" s="103"/>
      <c r="E139" s="294"/>
      <c r="F139" s="295"/>
      <c r="G139" s="295"/>
      <c r="H139" s="295"/>
      <c r="I139" s="295"/>
      <c r="J139" s="76" t="str">
        <f t="shared" si="23"/>
        <v/>
      </c>
      <c r="K139" s="450" t="str">
        <f t="shared" si="24"/>
        <v/>
      </c>
      <c r="L139" s="117"/>
      <c r="M139" s="451">
        <f t="shared" si="25"/>
        <v>0</v>
      </c>
      <c r="N139" s="296"/>
      <c r="O139" s="296"/>
      <c r="P139" s="296"/>
      <c r="Q139" s="296"/>
      <c r="R139" s="296"/>
      <c r="S139" s="296"/>
      <c r="T139" s="296"/>
      <c r="U139" s="296"/>
      <c r="V139" s="763"/>
      <c r="W139" s="760"/>
      <c r="X139" s="764"/>
      <c r="Y139" s="303"/>
      <c r="Z139" s="303"/>
      <c r="AA139" s="768" t="str">
        <f>IF(Recette!F175="","",Recette!F175/Recette!C$5*Batch!K$2)</f>
        <v/>
      </c>
      <c r="AB139" s="771"/>
      <c r="AC139" s="441"/>
      <c r="AD139" s="155" t="e">
        <f t="shared" si="26"/>
        <v>#VALUE!</v>
      </c>
    </row>
    <row r="140" spans="2:30" s="292" customFormat="1" ht="17" hidden="1" customHeight="1">
      <c r="B140" s="293">
        <f>BDD!A84</f>
        <v>0</v>
      </c>
      <c r="C140" s="293"/>
      <c r="D140" s="103"/>
      <c r="E140" s="294"/>
      <c r="F140" s="295"/>
      <c r="G140" s="295"/>
      <c r="H140" s="295"/>
      <c r="I140" s="295"/>
      <c r="J140" s="76" t="str">
        <f t="shared" si="23"/>
        <v/>
      </c>
      <c r="K140" s="450" t="str">
        <f t="shared" si="24"/>
        <v/>
      </c>
      <c r="L140" s="117"/>
      <c r="M140" s="451">
        <f t="shared" si="25"/>
        <v>0</v>
      </c>
      <c r="N140" s="296"/>
      <c r="O140" s="296"/>
      <c r="P140" s="296"/>
      <c r="Q140" s="296"/>
      <c r="R140" s="296"/>
      <c r="S140" s="296"/>
      <c r="T140" s="296"/>
      <c r="U140" s="296"/>
      <c r="V140" s="763"/>
      <c r="W140" s="760"/>
      <c r="X140" s="764"/>
      <c r="Y140" s="303"/>
      <c r="Z140" s="303"/>
      <c r="AA140" s="768" t="str">
        <f>IF(Recette!F176="","",Recette!F176/Recette!C$5*Batch!K$2)</f>
        <v/>
      </c>
      <c r="AB140" s="771"/>
      <c r="AC140" s="441"/>
      <c r="AD140" s="155" t="e">
        <f t="shared" si="26"/>
        <v>#VALUE!</v>
      </c>
    </row>
    <row r="141" spans="2:30" s="292" customFormat="1" ht="17" hidden="1" customHeight="1">
      <c r="B141" s="293">
        <f>BDD!A85</f>
        <v>0</v>
      </c>
      <c r="C141" s="293"/>
      <c r="D141" s="103"/>
      <c r="E141" s="294"/>
      <c r="F141" s="295"/>
      <c r="G141" s="295"/>
      <c r="H141" s="295"/>
      <c r="I141" s="295"/>
      <c r="J141" s="76" t="str">
        <f t="shared" si="23"/>
        <v/>
      </c>
      <c r="K141" s="450" t="str">
        <f t="shared" si="24"/>
        <v/>
      </c>
      <c r="L141" s="117"/>
      <c r="M141" s="451">
        <f t="shared" si="25"/>
        <v>0</v>
      </c>
      <c r="N141" s="296"/>
      <c r="O141" s="296"/>
      <c r="P141" s="296"/>
      <c r="Q141" s="296"/>
      <c r="R141" s="296"/>
      <c r="S141" s="296"/>
      <c r="T141" s="296"/>
      <c r="U141" s="296"/>
      <c r="V141" s="763"/>
      <c r="W141" s="760"/>
      <c r="X141" s="764"/>
      <c r="Y141" s="303"/>
      <c r="Z141" s="303"/>
      <c r="AA141" s="768" t="str">
        <f>IF(Recette!F177="","",Recette!F177/Recette!C$5*Batch!K$2)</f>
        <v/>
      </c>
      <c r="AB141" s="771"/>
      <c r="AC141" s="441"/>
      <c r="AD141" s="155" t="e">
        <f t="shared" si="26"/>
        <v>#VALUE!</v>
      </c>
    </row>
    <row r="142" spans="2:30" s="292" customFormat="1" ht="17" hidden="1" customHeight="1">
      <c r="B142" s="293">
        <f>BDD!A86</f>
        <v>0</v>
      </c>
      <c r="C142" s="293"/>
      <c r="D142" s="103"/>
      <c r="E142" s="294"/>
      <c r="F142" s="295"/>
      <c r="G142" s="295"/>
      <c r="H142" s="295"/>
      <c r="I142" s="295"/>
      <c r="J142" s="76" t="str">
        <f t="shared" si="23"/>
        <v/>
      </c>
      <c r="K142" s="450" t="str">
        <f t="shared" si="24"/>
        <v/>
      </c>
      <c r="L142" s="117"/>
      <c r="M142" s="451">
        <f t="shared" si="25"/>
        <v>0</v>
      </c>
      <c r="N142" s="296"/>
      <c r="O142" s="296"/>
      <c r="P142" s="296"/>
      <c r="Q142" s="296"/>
      <c r="R142" s="296"/>
      <c r="S142" s="296"/>
      <c r="T142" s="296"/>
      <c r="U142" s="296"/>
      <c r="V142" s="763"/>
      <c r="W142" s="760"/>
      <c r="X142" s="764"/>
      <c r="Y142" s="303"/>
      <c r="Z142" s="303"/>
      <c r="AA142" s="768" t="str">
        <f>IF(Recette!F178="","",Recette!F178/Recette!C$5*Batch!K$2)</f>
        <v/>
      </c>
      <c r="AB142" s="771"/>
      <c r="AC142" s="441"/>
      <c r="AD142" s="155" t="e">
        <f t="shared" si="26"/>
        <v>#VALUE!</v>
      </c>
    </row>
    <row r="143" spans="2:30" s="292" customFormat="1" ht="17" hidden="1" customHeight="1">
      <c r="B143" s="293">
        <f>BDD!A87</f>
        <v>0</v>
      </c>
      <c r="C143" s="293"/>
      <c r="D143" s="103"/>
      <c r="E143" s="294"/>
      <c r="F143" s="295"/>
      <c r="G143" s="295"/>
      <c r="H143" s="295"/>
      <c r="I143" s="295"/>
      <c r="J143" s="76" t="str">
        <f t="shared" si="23"/>
        <v/>
      </c>
      <c r="K143" s="450" t="str">
        <f t="shared" si="24"/>
        <v/>
      </c>
      <c r="L143" s="117"/>
      <c r="M143" s="451">
        <f t="shared" si="25"/>
        <v>0</v>
      </c>
      <c r="N143" s="296"/>
      <c r="O143" s="296"/>
      <c r="P143" s="296"/>
      <c r="Q143" s="296"/>
      <c r="R143" s="296"/>
      <c r="S143" s="296"/>
      <c r="T143" s="296"/>
      <c r="U143" s="296"/>
      <c r="V143" s="763"/>
      <c r="W143" s="760"/>
      <c r="X143" s="764"/>
      <c r="Y143" s="303"/>
      <c r="Z143" s="303"/>
      <c r="AA143" s="768" t="str">
        <f>IF(Recette!F179="","",Recette!F179/Recette!C$5*Batch!K$2)</f>
        <v/>
      </c>
      <c r="AB143" s="771"/>
      <c r="AC143" s="441"/>
      <c r="AD143" s="155" t="e">
        <f t="shared" si="26"/>
        <v>#VALUE!</v>
      </c>
    </row>
    <row r="144" spans="2:30" s="292" customFormat="1" ht="17" hidden="1" customHeight="1">
      <c r="B144" s="293">
        <f>BDD!A88</f>
        <v>0</v>
      </c>
      <c r="C144" s="293"/>
      <c r="D144" s="103"/>
      <c r="E144" s="294"/>
      <c r="F144" s="295"/>
      <c r="G144" s="295"/>
      <c r="H144" s="295"/>
      <c r="I144" s="295"/>
      <c r="J144" s="76" t="str">
        <f t="shared" si="23"/>
        <v/>
      </c>
      <c r="K144" s="450" t="str">
        <f t="shared" si="24"/>
        <v/>
      </c>
      <c r="L144" s="117"/>
      <c r="M144" s="451">
        <f t="shared" si="25"/>
        <v>0</v>
      </c>
      <c r="N144" s="296"/>
      <c r="O144" s="296"/>
      <c r="P144" s="296"/>
      <c r="Q144" s="296"/>
      <c r="R144" s="296"/>
      <c r="S144" s="296"/>
      <c r="T144" s="296"/>
      <c r="U144" s="296"/>
      <c r="V144" s="763"/>
      <c r="W144" s="760"/>
      <c r="X144" s="764"/>
      <c r="Y144" s="303"/>
      <c r="Z144" s="303"/>
      <c r="AA144" s="768" t="str">
        <f>IF(Recette!F180="","",Recette!F180/Recette!C$5*Batch!K$2)</f>
        <v/>
      </c>
      <c r="AB144" s="771"/>
      <c r="AC144" s="441"/>
      <c r="AD144" s="155" t="e">
        <f t="shared" si="26"/>
        <v>#VALUE!</v>
      </c>
    </row>
    <row r="145" spans="1:30" s="292" customFormat="1" ht="17" hidden="1" customHeight="1">
      <c r="B145" s="293">
        <f>BDD!A89</f>
        <v>0</v>
      </c>
      <c r="C145" s="293"/>
      <c r="D145" s="103"/>
      <c r="E145" s="294"/>
      <c r="F145" s="295"/>
      <c r="G145" s="295"/>
      <c r="H145" s="295"/>
      <c r="I145" s="295"/>
      <c r="J145" s="76" t="str">
        <f t="shared" si="23"/>
        <v/>
      </c>
      <c r="K145" s="450" t="str">
        <f t="shared" si="24"/>
        <v/>
      </c>
      <c r="L145" s="117"/>
      <c r="M145" s="451">
        <f t="shared" si="25"/>
        <v>0</v>
      </c>
      <c r="N145" s="296"/>
      <c r="O145" s="296"/>
      <c r="P145" s="296"/>
      <c r="Q145" s="296"/>
      <c r="R145" s="296"/>
      <c r="S145" s="296"/>
      <c r="T145" s="296"/>
      <c r="U145" s="296"/>
      <c r="V145" s="763"/>
      <c r="W145" s="760"/>
      <c r="X145" s="764"/>
      <c r="Y145" s="303"/>
      <c r="Z145" s="303"/>
      <c r="AA145" s="768" t="str">
        <f>IF(Recette!F181="","",Recette!F181/Recette!C$5*Batch!K$2)</f>
        <v/>
      </c>
      <c r="AB145" s="771"/>
      <c r="AC145" s="441"/>
      <c r="AD145" s="155" t="e">
        <f t="shared" si="26"/>
        <v>#VALUE!</v>
      </c>
    </row>
    <row r="146" spans="1:30" s="292" customFormat="1" ht="17" hidden="1" customHeight="1" thickBot="1">
      <c r="B146" s="293">
        <f>BDD!A90</f>
        <v>0</v>
      </c>
      <c r="C146" s="293"/>
      <c r="D146" s="103"/>
      <c r="E146" s="294"/>
      <c r="F146" s="295"/>
      <c r="G146" s="295"/>
      <c r="H146" s="295"/>
      <c r="I146" s="295"/>
      <c r="J146" s="427" t="str">
        <f t="shared" si="23"/>
        <v/>
      </c>
      <c r="K146" s="428" t="str">
        <f t="shared" si="24"/>
        <v/>
      </c>
      <c r="L146" s="429"/>
      <c r="M146" s="497">
        <f t="shared" si="25"/>
        <v>0</v>
      </c>
      <c r="N146" s="296"/>
      <c r="O146" s="296"/>
      <c r="P146" s="296"/>
      <c r="Q146" s="296"/>
      <c r="R146" s="296"/>
      <c r="S146" s="296"/>
      <c r="T146" s="296"/>
      <c r="U146" s="296"/>
      <c r="V146" s="763"/>
      <c r="W146" s="760"/>
      <c r="X146" s="764"/>
      <c r="Y146" s="303"/>
      <c r="Z146" s="303"/>
      <c r="AA146" s="769" t="str">
        <f>IF(Recette!F182="","",Recette!F182/Recette!C$5*Batch!K$2)</f>
        <v/>
      </c>
      <c r="AB146" s="771"/>
      <c r="AC146" s="441"/>
      <c r="AD146" s="155" t="e">
        <f t="shared" si="26"/>
        <v>#VALUE!</v>
      </c>
    </row>
    <row r="147" spans="1:30" ht="17" customHeight="1" thickBot="1">
      <c r="B147" s="444"/>
      <c r="C147" s="498" t="s">
        <v>27</v>
      </c>
      <c r="D147" s="729">
        <f>SUMIF(E82:I90,"&gt;0",E82:I90)</f>
        <v>77</v>
      </c>
      <c r="E147" s="299">
        <f>D147/K2</f>
        <v>6.416666666666667</v>
      </c>
      <c r="F147" s="300">
        <f>SUM(E82:E90)/$K2</f>
        <v>0.16666666666666666</v>
      </c>
      <c r="G147" s="300">
        <f>SUM(F82:F90)/$K2</f>
        <v>1.25</v>
      </c>
      <c r="H147" s="300">
        <f>SUM(G82:G90)/$K2</f>
        <v>1.6666666666666667</v>
      </c>
      <c r="I147" s="301">
        <f>SUM(H82:H90)/$K2</f>
        <v>3.3333333333333335</v>
      </c>
      <c r="J147" s="490">
        <f>IF(SUM($J$82:$M$90)=0,"",SUM(J82:J90)/SUM($J$82:$M$90))</f>
        <v>0.11122035163856986</v>
      </c>
      <c r="K147" s="888">
        <f>IF(SUM($J$82:$M$90)=0,"",SUM(K82:K90)/SUM($J$82:$M$90))</f>
        <v>0.64106685519902218</v>
      </c>
      <c r="L147" s="888"/>
      <c r="M147" s="491">
        <f>IF(SUM($J$82:$M$90)=0,"",SUM(M82:M90)/SUM($J$82:$M$90))</f>
        <v>0.24771279316240793</v>
      </c>
      <c r="N147" s="683"/>
      <c r="O147" s="683"/>
      <c r="P147" s="683"/>
      <c r="Q147" s="683"/>
      <c r="R147" s="683"/>
      <c r="S147" s="683"/>
      <c r="T147" s="683"/>
      <c r="U147" s="683"/>
      <c r="V147" s="765" t="s">
        <v>16</v>
      </c>
      <c r="W147" s="748"/>
      <c r="X147" s="774"/>
      <c r="Y147" s="759" t="s">
        <v>2947</v>
      </c>
      <c r="Z147" s="750" t="s">
        <v>1190</v>
      </c>
      <c r="AA147" s="755" t="str">
        <f>IF(Z148&gt;0,"Ajout sucre","Ajout eau")</f>
        <v>Ajout eau</v>
      </c>
      <c r="AB147" s="772">
        <f>Y148</f>
        <v>0</v>
      </c>
    </row>
    <row r="148" spans="1:30" ht="17" customHeight="1" thickBot="1">
      <c r="B148" s="444"/>
      <c r="C148" s="444"/>
      <c r="D148" s="444"/>
      <c r="E148" s="444"/>
      <c r="F148" s="444"/>
      <c r="G148" s="444"/>
      <c r="H148" s="444"/>
      <c r="I148" s="441"/>
      <c r="J148" s="980" t="str">
        <f>"Total: "&amp;ROUND(SUM(J82:M90),1)&amp;" IBU | IBU/DI="&amp;ROUND(SUM(J82:M90)/(AD21-1000),2)</f>
        <v>Total: 54.9 IBU | IBU/DI=1.52</v>
      </c>
      <c r="K148" s="981"/>
      <c r="L148" s="981"/>
      <c r="M148" s="982"/>
      <c r="N148" s="682"/>
      <c r="O148" s="683"/>
      <c r="P148" s="683"/>
      <c r="Q148" s="683"/>
      <c r="R148" s="683"/>
      <c r="S148" s="683"/>
      <c r="T148" s="683"/>
      <c r="U148" s="683"/>
      <c r="V148" s="752" t="s">
        <v>2944</v>
      </c>
      <c r="W148" s="749"/>
      <c r="X148" s="766"/>
      <c r="Y148" s="773"/>
      <c r="Z148" s="344">
        <f>ROUND(X147-Y148,1)*-1</f>
        <v>0</v>
      </c>
      <c r="AA148" s="756" t="e">
        <f>IF(Z148&gt;0,10*Z148*X148,(X149/Y148/10)-X148)</f>
        <v>#DIV/0!</v>
      </c>
      <c r="AB148" s="775">
        <f>IF(Z148&lt;0,X148+AA148,X148)</f>
        <v>0</v>
      </c>
    </row>
    <row r="149" spans="1:30" s="645" customFormat="1" ht="17" thickBot="1">
      <c r="J149" s="885" t="str">
        <f>X4</f>
        <v>21a. American IPA</v>
      </c>
      <c r="K149" s="886"/>
      <c r="L149" s="887"/>
      <c r="M149" s="499">
        <f>VLOOKUP(J149,Styles!A3:Y102,25,0)</f>
        <v>0.87</v>
      </c>
      <c r="V149" s="753" t="s">
        <v>2945</v>
      </c>
      <c r="W149" s="747" t="s">
        <v>2944</v>
      </c>
      <c r="X149" s="758">
        <f>X147*X148*10</f>
        <v>0</v>
      </c>
      <c r="Y149" s="751"/>
      <c r="Z149" s="441"/>
      <c r="AA149" s="489"/>
      <c r="AB149" s="757" t="e">
        <f>IF(Z148&lt;0,X149,X149+AA148)</f>
        <v>#DIV/0!</v>
      </c>
    </row>
    <row r="150" spans="1:30" ht="27" thickBot="1">
      <c r="A150" s="645"/>
      <c r="B150" s="176" t="s">
        <v>38</v>
      </c>
      <c r="C150" s="444"/>
      <c r="D150" s="645"/>
      <c r="E150" s="645"/>
      <c r="F150" s="645"/>
      <c r="G150" s="645"/>
      <c r="H150" s="645"/>
      <c r="I150" s="645"/>
      <c r="J150" s="646"/>
      <c r="K150" s="646"/>
      <c r="L150" s="646"/>
      <c r="M150" s="572"/>
      <c r="N150" s="645"/>
      <c r="O150" s="645"/>
      <c r="P150" s="645"/>
      <c r="Q150" s="645"/>
      <c r="R150" s="645"/>
      <c r="S150" s="645"/>
      <c r="T150" s="645"/>
      <c r="U150" s="645"/>
      <c r="V150" s="441"/>
      <c r="W150" s="441"/>
      <c r="X150" s="754"/>
      <c r="Y150" s="441"/>
      <c r="Z150" s="441"/>
      <c r="AA150" s="489"/>
      <c r="AB150" s="441"/>
      <c r="AC150" s="645"/>
    </row>
    <row r="151" spans="1:30" ht="17" customHeight="1" thickBot="1">
      <c r="B151" s="176"/>
      <c r="C151" s="444"/>
      <c r="D151" s="246" t="s">
        <v>2910</v>
      </c>
      <c r="E151" s="247" t="s">
        <v>2917</v>
      </c>
      <c r="F151" s="247" t="s">
        <v>2911</v>
      </c>
      <c r="G151" s="247" t="s">
        <v>2912</v>
      </c>
      <c r="H151" s="247" t="s">
        <v>2913</v>
      </c>
      <c r="I151" s="653" t="s">
        <v>2914</v>
      </c>
      <c r="J151" s="654"/>
      <c r="K151" s="1036" t="s">
        <v>2919</v>
      </c>
      <c r="L151" s="1037"/>
      <c r="M151" s="653" t="s">
        <v>2918</v>
      </c>
      <c r="N151" s="444"/>
      <c r="O151" s="444"/>
      <c r="P151" s="444"/>
      <c r="Q151" s="444"/>
      <c r="R151" s="444"/>
      <c r="S151" s="444"/>
      <c r="T151" s="444"/>
      <c r="U151" s="444"/>
      <c r="V151" s="444"/>
      <c r="W151" s="444"/>
      <c r="X151" s="441"/>
      <c r="Y151" s="441"/>
      <c r="Z151" s="441"/>
      <c r="AA151" s="441"/>
      <c r="AB151" s="441"/>
    </row>
    <row r="152" spans="1:30" ht="17" customHeight="1" thickBot="1">
      <c r="B152" s="976" t="s">
        <v>369</v>
      </c>
      <c r="C152" s="977"/>
      <c r="D152" s="668">
        <v>11</v>
      </c>
      <c r="E152" s="648">
        <f>MAX(D8,F8)</f>
        <v>24</v>
      </c>
      <c r="F152" s="649">
        <f>15.195*(D152*0.264)*((VLOOKUP(B152,BDD!D34:F41,3,0)-3.03781+(0.050062*(E152*9/5+32))-(0.00026555*((E152*9/5+32)^2))))</f>
        <v>71.712111998355837</v>
      </c>
      <c r="G152" s="650">
        <f>F152/D152</f>
        <v>6.5192829089414399</v>
      </c>
      <c r="H152" s="651">
        <f>VLOOKUP(B152,BDD!D34:F41,3,0)</f>
        <v>2.4</v>
      </c>
      <c r="I152" s="652">
        <f>H152*1.96</f>
        <v>4.7039999999999997</v>
      </c>
      <c r="J152" s="654"/>
      <c r="K152" s="1038">
        <v>20</v>
      </c>
      <c r="L152" s="1039"/>
      <c r="M152" s="656">
        <f>(I152/10)/(EXP(-10.73797+(2617.25/(K152+273.15))))-1.013</f>
        <v>1.8612015711197505</v>
      </c>
      <c r="N152" s="444"/>
      <c r="O152" s="444"/>
      <c r="P152" s="444"/>
      <c r="Q152" s="444"/>
      <c r="R152" s="444"/>
      <c r="S152" s="444"/>
      <c r="T152" s="444"/>
      <c r="U152" s="444"/>
      <c r="V152" s="444"/>
      <c r="W152" s="444"/>
      <c r="X152" s="441"/>
      <c r="Y152" s="441"/>
      <c r="Z152" s="489"/>
      <c r="AA152" s="441"/>
      <c r="AB152" s="441"/>
    </row>
    <row r="153" spans="1:30" ht="17" customHeight="1" thickBot="1">
      <c r="B153" s="444"/>
      <c r="C153" s="444"/>
      <c r="D153" s="444"/>
      <c r="E153" s="444"/>
      <c r="G153" s="647">
        <f>((G152*0.0634)/100)</f>
        <v>4.1332253642688728E-3</v>
      </c>
      <c r="H153" s="444"/>
      <c r="I153" s="305"/>
      <c r="J153" s="444"/>
      <c r="K153" s="444"/>
      <c r="L153" s="444"/>
      <c r="M153" s="444"/>
      <c r="N153" s="444"/>
      <c r="O153" s="444"/>
      <c r="P153" s="444"/>
      <c r="Q153" s="444"/>
      <c r="R153" s="444"/>
      <c r="S153" s="444"/>
      <c r="T153" s="444"/>
      <c r="U153" s="444"/>
      <c r="V153" s="444"/>
      <c r="W153" s="444"/>
      <c r="X153" s="1029"/>
      <c r="Y153" s="441"/>
      <c r="Z153" s="441"/>
      <c r="AA153" s="441"/>
      <c r="AB153" s="441"/>
    </row>
    <row r="154" spans="1:30" ht="27" thickBot="1">
      <c r="B154" s="176" t="s">
        <v>18</v>
      </c>
      <c r="C154" s="444"/>
      <c r="D154" s="444"/>
      <c r="E154" s="444"/>
      <c r="F154" s="444"/>
      <c r="G154" s="444"/>
      <c r="H154" s="444"/>
      <c r="I154" s="444"/>
      <c r="J154" s="444"/>
      <c r="K154" s="444"/>
      <c r="L154" s="444"/>
      <c r="M154" s="444"/>
      <c r="N154" s="444"/>
      <c r="O154" s="444"/>
      <c r="P154" s="444"/>
      <c r="Q154" s="444"/>
      <c r="R154" s="444"/>
      <c r="S154" s="444"/>
      <c r="T154" s="444"/>
      <c r="U154" s="444"/>
      <c r="V154" s="444"/>
      <c r="W154" s="444"/>
      <c r="X154" s="1029"/>
      <c r="Y154" s="441"/>
      <c r="Z154" s="441"/>
      <c r="AA154" s="441"/>
      <c r="AB154" s="441"/>
    </row>
    <row r="155" spans="1:30" ht="16">
      <c r="B155" s="161" t="s">
        <v>16</v>
      </c>
      <c r="C155" s="107">
        <v>4.3</v>
      </c>
      <c r="D155" s="338">
        <f>(ROUND(1+(C155/(258.6-(0.88*C155))),3)*1000)</f>
        <v>1016.9999999999999</v>
      </c>
      <c r="E155" s="306" t="s">
        <v>17</v>
      </c>
      <c r="F155" s="442"/>
      <c r="G155" s="456" t="s">
        <v>16</v>
      </c>
      <c r="H155" s="453" t="s">
        <v>188</v>
      </c>
      <c r="I155" s="307" t="s">
        <v>362</v>
      </c>
      <c r="J155" s="308" t="s">
        <v>363</v>
      </c>
      <c r="K155" s="444"/>
      <c r="L155" s="444"/>
      <c r="M155" s="444"/>
      <c r="N155" s="444"/>
      <c r="O155" s="444"/>
      <c r="P155" s="444"/>
      <c r="Q155" s="444"/>
      <c r="R155" s="444"/>
      <c r="S155" s="444"/>
      <c r="T155" s="444"/>
      <c r="U155" s="444"/>
      <c r="V155" s="444"/>
      <c r="W155" s="444"/>
      <c r="X155" s="441"/>
      <c r="Y155" s="441"/>
      <c r="Z155" s="441"/>
      <c r="AA155" s="441"/>
      <c r="AB155" s="441"/>
    </row>
    <row r="156" spans="1:30" ht="17" customHeight="1" thickBot="1">
      <c r="B156" s="309" t="s">
        <v>17</v>
      </c>
      <c r="C156" s="340">
        <v>1012</v>
      </c>
      <c r="D156" s="310">
        <f>ROUND(IF(C156&gt;1000,MROUND(258.6*((C156/1000)-1)/(0.12+(0.88*(C156/1000))),0.5),MROUND(258.6*(C156-1)/(0.12+(0.88*C156)),0.5)),1)</f>
        <v>3</v>
      </c>
      <c r="E156" s="311" t="s">
        <v>16</v>
      </c>
      <c r="G156" s="452">
        <v>4.3</v>
      </c>
      <c r="H156" s="316">
        <v>85</v>
      </c>
      <c r="I156" s="459">
        <f>ROUND(IF(J156&gt;1000,MROUND(258.6*((J156/1000)-1)/(0.12+(0.88*(J156/1000))),0.5),MROUND(258.6*(J156-1)/(0.12+(0.88*J156)),0.5)),1)</f>
        <v>11.5</v>
      </c>
      <c r="J156" s="339">
        <f>ROUND((((1+(G156/(258.6-(0.88*G156))))*1000)+(1+(G156/(258.6-(0.88*G156))))+0.00352871*((H156-20)^2)+(0.225225*(H156-20)))/1000,3)*1000</f>
        <v>1047</v>
      </c>
      <c r="K156" s="444"/>
      <c r="L156" s="444"/>
      <c r="M156" s="444"/>
      <c r="N156" s="444"/>
      <c r="O156" s="444"/>
      <c r="P156" s="444"/>
      <c r="Q156" s="444"/>
      <c r="R156" s="444"/>
      <c r="S156" s="444"/>
      <c r="T156" s="444"/>
      <c r="U156" s="444"/>
      <c r="V156" s="444"/>
      <c r="W156" s="444"/>
      <c r="X156" s="444"/>
      <c r="Y156" s="444"/>
      <c r="Z156" s="444"/>
      <c r="AA156" s="444"/>
    </row>
    <row r="157" spans="1:30" ht="17" customHeight="1">
      <c r="B157" s="444"/>
      <c r="C157" s="444"/>
      <c r="D157" s="444"/>
      <c r="E157" s="444"/>
      <c r="F157" s="444"/>
      <c r="G157" s="444"/>
      <c r="H157" s="444"/>
      <c r="I157" s="444"/>
      <c r="J157" s="444"/>
      <c r="K157" s="444"/>
      <c r="L157" s="444"/>
      <c r="M157" s="444"/>
      <c r="N157" s="441"/>
      <c r="O157" s="441"/>
      <c r="P157" s="441"/>
      <c r="Q157" s="441"/>
      <c r="R157" s="441"/>
      <c r="S157" s="441"/>
      <c r="T157" s="441"/>
      <c r="U157" s="441"/>
      <c r="V157" s="441"/>
      <c r="W157" s="441"/>
      <c r="X157" s="441"/>
      <c r="Y157" s="444"/>
      <c r="Z157" s="444"/>
      <c r="AA157" s="444"/>
    </row>
    <row r="158" spans="1:30" ht="17" hidden="1" customHeight="1">
      <c r="B158" s="444"/>
      <c r="C158" s="444"/>
      <c r="D158" s="444"/>
      <c r="E158" s="444"/>
      <c r="F158" s="444"/>
      <c r="G158" s="444"/>
      <c r="H158" s="444"/>
      <c r="I158" s="444"/>
      <c r="J158" s="444"/>
      <c r="K158" s="444"/>
      <c r="L158" s="444"/>
      <c r="M158" s="444"/>
      <c r="N158" s="441"/>
      <c r="O158" s="441"/>
      <c r="P158" s="441"/>
      <c r="Q158" s="441"/>
      <c r="R158" s="441"/>
      <c r="S158" s="441"/>
      <c r="T158" s="441"/>
      <c r="U158" s="441"/>
      <c r="V158" s="441"/>
      <c r="W158" s="441"/>
      <c r="X158" s="441"/>
      <c r="Y158" s="444"/>
      <c r="Z158" s="444"/>
      <c r="AA158" s="444"/>
    </row>
    <row r="159" spans="1:30" ht="17" hidden="1" customHeight="1">
      <c r="B159" s="975"/>
      <c r="C159" s="975"/>
      <c r="D159" s="312"/>
      <c r="E159" s="169"/>
      <c r="F159" s="444"/>
      <c r="G159" s="304" t="str">
        <f>IF(D159="","",(D159*E159*(1.65*(0.000125^(($F$76/1000)-1)))*((1-EXP(-0.04*($E$74-$F159)))/4.15)*1000)/(K$2*(1+((($F$76/1000)-1.05)/0.2))))</f>
        <v/>
      </c>
      <c r="H159" s="444"/>
      <c r="I159" s="444"/>
      <c r="J159" s="444"/>
      <c r="K159" s="444"/>
      <c r="L159" s="444"/>
      <c r="M159" s="444"/>
      <c r="N159" s="441"/>
      <c r="O159" s="441"/>
      <c r="P159" s="441"/>
      <c r="Q159" s="441"/>
      <c r="R159" s="441"/>
      <c r="S159" s="441"/>
      <c r="T159" s="441"/>
      <c r="U159" s="441"/>
      <c r="V159" s="441"/>
      <c r="W159" s="441"/>
      <c r="X159" s="441"/>
      <c r="Y159" s="444"/>
      <c r="Z159" s="444"/>
      <c r="AA159" s="444"/>
    </row>
    <row r="160" spans="1:30" ht="17" hidden="1" customHeight="1">
      <c r="B160" s="444"/>
      <c r="C160" s="444"/>
      <c r="D160" s="444"/>
      <c r="E160" s="444"/>
      <c r="F160" s="444"/>
      <c r="G160" s="444"/>
      <c r="H160" s="444"/>
      <c r="I160" s="444"/>
      <c r="J160" s="444"/>
      <c r="K160" s="444"/>
      <c r="L160" s="444"/>
      <c r="M160" s="444"/>
      <c r="N160" s="444"/>
      <c r="O160" s="444"/>
      <c r="P160" s="444"/>
      <c r="Q160" s="444"/>
      <c r="R160" s="444"/>
      <c r="S160" s="444"/>
      <c r="T160" s="444"/>
      <c r="U160" s="444"/>
      <c r="V160" s="444"/>
      <c r="W160" s="444"/>
      <c r="X160" s="444"/>
      <c r="Y160" s="444"/>
      <c r="Z160" s="444"/>
      <c r="AA160" s="444"/>
    </row>
    <row r="161" spans="2:27" ht="17" hidden="1" customHeight="1">
      <c r="B161" s="444"/>
      <c r="C161" s="444"/>
      <c r="D161" s="444"/>
      <c r="E161" s="444"/>
      <c r="F161" s="444"/>
      <c r="G161" s="444"/>
      <c r="H161" s="444"/>
      <c r="I161" s="444"/>
      <c r="J161" s="444"/>
      <c r="K161" s="444"/>
      <c r="L161" s="444"/>
      <c r="M161" s="444"/>
      <c r="N161" s="444"/>
      <c r="O161" s="444"/>
      <c r="P161" s="444"/>
      <c r="Q161" s="444"/>
      <c r="R161" s="444"/>
      <c r="S161" s="444"/>
      <c r="T161" s="444"/>
      <c r="U161" s="444"/>
      <c r="V161" s="444"/>
      <c r="W161" s="444"/>
      <c r="X161" s="444"/>
      <c r="Y161" s="444"/>
      <c r="Z161" s="444"/>
      <c r="AA161" s="444"/>
    </row>
    <row r="162" spans="2:27" ht="17" hidden="1" customHeight="1">
      <c r="B162" s="444"/>
      <c r="C162" s="444"/>
      <c r="D162" s="444"/>
      <c r="E162" s="444"/>
      <c r="F162" s="444"/>
      <c r="G162" s="444"/>
      <c r="H162" s="444"/>
      <c r="I162" s="444"/>
      <c r="J162" s="444"/>
      <c r="K162" s="444"/>
      <c r="L162" s="444"/>
      <c r="M162" s="444"/>
      <c r="N162" s="444"/>
      <c r="O162" s="444"/>
      <c r="P162" s="444"/>
      <c r="Q162" s="444"/>
      <c r="R162" s="444"/>
      <c r="S162" s="444"/>
      <c r="T162" s="444"/>
      <c r="U162" s="444"/>
      <c r="V162" s="444"/>
      <c r="W162" s="444"/>
      <c r="X162" s="444"/>
      <c r="Y162" s="444"/>
      <c r="Z162" s="444"/>
      <c r="AA162" s="444"/>
    </row>
    <row r="163" spans="2:27" ht="17" hidden="1" customHeight="1">
      <c r="B163" s="444"/>
      <c r="C163" s="444"/>
      <c r="D163" s="444"/>
      <c r="E163" s="444"/>
      <c r="F163" s="444"/>
      <c r="G163" s="444"/>
      <c r="H163" s="444"/>
      <c r="I163" s="444"/>
      <c r="J163" s="444"/>
      <c r="K163" s="444"/>
      <c r="L163" s="444"/>
      <c r="M163" s="444"/>
      <c r="N163" s="444"/>
      <c r="O163" s="444"/>
      <c r="P163" s="444"/>
      <c r="Q163" s="444"/>
      <c r="R163" s="444"/>
      <c r="S163" s="444"/>
      <c r="T163" s="444"/>
      <c r="U163" s="444"/>
      <c r="V163" s="444"/>
      <c r="W163" s="444"/>
      <c r="X163" s="444"/>
      <c r="Y163" s="444"/>
      <c r="Z163" s="444"/>
      <c r="AA163" s="444"/>
    </row>
    <row r="164" spans="2:27" ht="17" hidden="1" customHeight="1">
      <c r="B164" s="444"/>
      <c r="C164" s="444"/>
      <c r="D164" s="444"/>
      <c r="E164" s="444"/>
      <c r="F164" s="444"/>
      <c r="G164" s="444"/>
      <c r="H164" s="444"/>
      <c r="I164" s="444"/>
      <c r="J164" s="444"/>
      <c r="K164" s="444"/>
      <c r="L164" s="444"/>
      <c r="M164" s="444"/>
      <c r="N164" s="444"/>
      <c r="O164" s="444"/>
      <c r="P164" s="444"/>
      <c r="Q164" s="444"/>
      <c r="R164" s="444"/>
      <c r="S164" s="444"/>
      <c r="T164" s="444"/>
      <c r="U164" s="444"/>
      <c r="V164" s="444"/>
      <c r="W164" s="444"/>
      <c r="X164" s="444"/>
      <c r="Y164" s="444"/>
      <c r="Z164" s="444"/>
      <c r="AA164" s="444"/>
    </row>
    <row r="165" spans="2:27" ht="17" hidden="1" customHeight="1">
      <c r="B165" s="444"/>
      <c r="C165" s="444"/>
      <c r="D165" s="444"/>
      <c r="E165" s="444"/>
      <c r="F165" s="444"/>
      <c r="G165" s="444"/>
      <c r="H165" s="444"/>
      <c r="I165" s="444"/>
      <c r="J165" s="444"/>
      <c r="K165" s="444"/>
      <c r="L165" s="444"/>
      <c r="M165" s="444"/>
      <c r="N165" s="444"/>
      <c r="O165" s="444"/>
      <c r="P165" s="444"/>
      <c r="Q165" s="444"/>
      <c r="R165" s="444"/>
      <c r="S165" s="444"/>
      <c r="T165" s="444"/>
      <c r="U165" s="444"/>
      <c r="V165" s="444"/>
      <c r="W165" s="444"/>
      <c r="X165" s="444"/>
      <c r="Y165" s="444"/>
      <c r="Z165" s="444"/>
      <c r="AA165" s="444"/>
    </row>
    <row r="166" spans="2:27" ht="17" hidden="1" customHeight="1">
      <c r="B166" s="444"/>
      <c r="C166" s="444"/>
      <c r="D166" s="444"/>
      <c r="E166" s="444"/>
      <c r="F166" s="444"/>
      <c r="G166" s="444"/>
      <c r="H166" s="444"/>
      <c r="I166" s="444"/>
      <c r="J166" s="444"/>
      <c r="K166" s="444"/>
      <c r="L166" s="444"/>
      <c r="M166" s="444"/>
      <c r="N166" s="444"/>
      <c r="O166" s="444"/>
      <c r="P166" s="444"/>
      <c r="Q166" s="444"/>
      <c r="R166" s="444"/>
      <c r="S166" s="444"/>
      <c r="T166" s="444"/>
      <c r="U166" s="444"/>
      <c r="V166" s="444"/>
      <c r="W166" s="444"/>
      <c r="X166" s="444"/>
      <c r="Y166" s="444"/>
      <c r="Z166" s="444"/>
      <c r="AA166" s="444"/>
    </row>
    <row r="167" spans="2:27" ht="17" hidden="1" customHeight="1">
      <c r="B167" s="444"/>
      <c r="C167" s="444"/>
      <c r="D167" s="444"/>
      <c r="E167" s="444"/>
      <c r="F167" s="444"/>
      <c r="G167" s="444"/>
      <c r="H167" s="444"/>
      <c r="I167" s="444"/>
      <c r="J167" s="444"/>
      <c r="K167" s="444"/>
      <c r="L167" s="444"/>
      <c r="M167" s="444"/>
      <c r="N167" s="444"/>
      <c r="O167" s="444"/>
      <c r="P167" s="444"/>
      <c r="Q167" s="444"/>
      <c r="R167" s="444"/>
      <c r="S167" s="444"/>
      <c r="T167" s="444"/>
      <c r="U167" s="444"/>
      <c r="V167" s="444"/>
      <c r="W167" s="444"/>
      <c r="X167" s="444"/>
      <c r="Y167" s="444"/>
      <c r="Z167" s="444"/>
      <c r="AA167" s="444"/>
    </row>
    <row r="168" spans="2:27" ht="17" hidden="1" customHeight="1">
      <c r="B168" s="444"/>
      <c r="C168" s="444"/>
      <c r="D168" s="444"/>
      <c r="E168" s="444"/>
      <c r="F168" s="444"/>
      <c r="G168" s="444"/>
      <c r="H168" s="444"/>
      <c r="I168" s="444"/>
      <c r="J168" s="444"/>
      <c r="K168" s="444"/>
      <c r="L168" s="444"/>
      <c r="M168" s="444"/>
      <c r="N168" s="444"/>
      <c r="O168" s="444"/>
      <c r="P168" s="444"/>
      <c r="Q168" s="444"/>
      <c r="R168" s="444"/>
      <c r="S168" s="444"/>
      <c r="T168" s="444"/>
      <c r="U168" s="444"/>
      <c r="V168" s="444"/>
      <c r="W168" s="444"/>
      <c r="X168" s="444"/>
      <c r="Y168" s="444"/>
      <c r="Z168" s="444"/>
      <c r="AA168" s="444"/>
    </row>
    <row r="169" spans="2:27" ht="17" hidden="1" customHeight="1">
      <c r="B169" s="444"/>
      <c r="C169" s="444"/>
      <c r="D169" s="444"/>
      <c r="E169" s="444"/>
      <c r="F169" s="444"/>
      <c r="G169" s="444"/>
      <c r="H169" s="444"/>
      <c r="I169" s="444"/>
      <c r="J169" s="444"/>
      <c r="K169" s="444"/>
      <c r="L169" s="444"/>
      <c r="M169" s="444"/>
      <c r="N169" s="444"/>
      <c r="O169" s="444"/>
      <c r="P169" s="444"/>
      <c r="Q169" s="444"/>
      <c r="R169" s="444"/>
      <c r="S169" s="444"/>
      <c r="T169" s="444"/>
      <c r="U169" s="444"/>
      <c r="V169" s="444"/>
      <c r="W169" s="444"/>
      <c r="X169" s="444"/>
      <c r="Y169" s="444"/>
      <c r="Z169" s="444"/>
      <c r="AA169" s="444"/>
    </row>
    <row r="170" spans="2:27" ht="17" hidden="1" customHeight="1">
      <c r="B170" s="444"/>
      <c r="C170" s="444"/>
      <c r="D170" s="444"/>
      <c r="E170" s="444"/>
      <c r="F170" s="444"/>
      <c r="G170" s="444"/>
      <c r="H170" s="444"/>
      <c r="I170" s="444"/>
      <c r="J170" s="444"/>
      <c r="K170" s="444"/>
      <c r="L170" s="444"/>
      <c r="M170" s="444"/>
      <c r="N170" s="444"/>
      <c r="O170" s="444"/>
      <c r="P170" s="444"/>
      <c r="Q170" s="444"/>
      <c r="R170" s="444"/>
      <c r="S170" s="444"/>
      <c r="T170" s="444"/>
      <c r="U170" s="444"/>
      <c r="V170" s="444"/>
      <c r="W170" s="444"/>
      <c r="X170" s="444"/>
      <c r="Y170" s="444"/>
      <c r="Z170" s="444"/>
      <c r="AA170" s="444"/>
    </row>
    <row r="171" spans="2:27" ht="17" hidden="1" customHeight="1">
      <c r="B171" s="444"/>
      <c r="C171" s="444"/>
      <c r="D171" s="444"/>
      <c r="E171" s="444"/>
      <c r="F171" s="444"/>
      <c r="G171" s="444"/>
      <c r="H171" s="444"/>
      <c r="I171" s="444"/>
      <c r="J171" s="444"/>
      <c r="K171" s="444"/>
      <c r="L171" s="444"/>
      <c r="M171" s="444"/>
      <c r="N171" s="444"/>
      <c r="O171" s="444"/>
      <c r="P171" s="444"/>
      <c r="Q171" s="444"/>
      <c r="R171" s="444"/>
      <c r="S171" s="444"/>
      <c r="T171" s="444"/>
      <c r="U171" s="444"/>
      <c r="V171" s="444"/>
      <c r="W171" s="444"/>
      <c r="X171" s="444"/>
      <c r="Y171" s="444"/>
      <c r="Z171" s="444"/>
      <c r="AA171" s="444"/>
    </row>
    <row r="172" spans="2:27" ht="17" hidden="1" customHeight="1">
      <c r="B172" s="444"/>
      <c r="C172" s="444"/>
      <c r="D172" s="444"/>
      <c r="E172" s="444"/>
      <c r="F172" s="444"/>
      <c r="G172" s="444"/>
      <c r="H172" s="444"/>
      <c r="I172" s="444"/>
      <c r="J172" s="444"/>
      <c r="K172" s="444"/>
      <c r="L172" s="444"/>
      <c r="M172" s="444"/>
      <c r="N172" s="444"/>
      <c r="O172" s="444"/>
      <c r="P172" s="444"/>
      <c r="Q172" s="444"/>
      <c r="R172" s="444"/>
      <c r="S172" s="444"/>
      <c r="T172" s="444"/>
      <c r="U172" s="444"/>
      <c r="V172" s="444"/>
      <c r="W172" s="444"/>
      <c r="X172" s="444"/>
      <c r="Y172" s="444"/>
      <c r="Z172" s="444"/>
      <c r="AA172" s="444"/>
    </row>
    <row r="173" spans="2:27" ht="17" hidden="1" customHeight="1">
      <c r="B173" s="444"/>
      <c r="C173" s="444"/>
      <c r="D173" s="444"/>
      <c r="E173" s="444"/>
      <c r="F173" s="444"/>
      <c r="G173" s="444"/>
      <c r="H173" s="444"/>
      <c r="I173" s="444"/>
      <c r="J173" s="444"/>
      <c r="K173" s="444"/>
      <c r="L173" s="444"/>
      <c r="M173" s="444"/>
      <c r="N173" s="444"/>
      <c r="O173" s="444"/>
      <c r="P173" s="444"/>
      <c r="Q173" s="444"/>
      <c r="R173" s="444"/>
      <c r="S173" s="444"/>
      <c r="T173" s="444"/>
      <c r="U173" s="444"/>
      <c r="V173" s="444"/>
      <c r="W173" s="444"/>
      <c r="X173" s="444"/>
      <c r="Y173" s="444"/>
      <c r="Z173" s="444"/>
      <c r="AA173" s="444"/>
    </row>
    <row r="174" spans="2:27" ht="17" hidden="1" customHeight="1">
      <c r="B174" s="444"/>
      <c r="C174" s="444"/>
      <c r="D174" s="444"/>
      <c r="E174" s="444"/>
      <c r="F174" s="444"/>
      <c r="G174" s="444"/>
      <c r="H174" s="444"/>
      <c r="I174" s="444"/>
      <c r="J174" s="444"/>
      <c r="K174" s="444"/>
      <c r="L174" s="444"/>
      <c r="M174" s="444"/>
      <c r="N174" s="444"/>
      <c r="O174" s="444"/>
      <c r="P174" s="444"/>
      <c r="Q174" s="444"/>
      <c r="R174" s="444"/>
      <c r="S174" s="444"/>
      <c r="T174" s="444"/>
      <c r="U174" s="444"/>
      <c r="V174" s="444"/>
      <c r="W174" s="444"/>
      <c r="X174" s="444"/>
      <c r="Y174" s="444"/>
      <c r="Z174" s="444"/>
      <c r="AA174" s="444"/>
    </row>
    <row r="175" spans="2:27" ht="17" hidden="1" customHeight="1">
      <c r="B175" s="444"/>
      <c r="C175" s="444"/>
      <c r="D175" s="444"/>
      <c r="E175" s="444"/>
      <c r="F175" s="444"/>
      <c r="G175" s="444"/>
      <c r="H175" s="444"/>
      <c r="I175" s="444"/>
      <c r="J175" s="444"/>
      <c r="K175" s="444"/>
      <c r="L175" s="444"/>
      <c r="M175" s="444"/>
      <c r="N175" s="444"/>
      <c r="O175" s="444"/>
      <c r="P175" s="444"/>
      <c r="Q175" s="444"/>
      <c r="R175" s="444"/>
      <c r="S175" s="444"/>
      <c r="T175" s="444"/>
      <c r="U175" s="444"/>
      <c r="V175" s="444"/>
      <c r="W175" s="444"/>
      <c r="X175" s="444"/>
      <c r="Y175" s="444"/>
      <c r="Z175" s="444"/>
      <c r="AA175" s="444"/>
    </row>
    <row r="176" spans="2:27" ht="17" hidden="1" customHeight="1">
      <c r="B176" s="444"/>
      <c r="C176" s="444"/>
      <c r="D176" s="444"/>
      <c r="E176" s="444"/>
      <c r="F176" s="444"/>
      <c r="G176" s="444"/>
      <c r="H176" s="444"/>
      <c r="I176" s="444"/>
      <c r="J176" s="444"/>
      <c r="K176" s="444"/>
      <c r="L176" s="444"/>
      <c r="M176" s="444"/>
      <c r="N176" s="444"/>
      <c r="O176" s="444"/>
      <c r="P176" s="444"/>
      <c r="Q176" s="444"/>
      <c r="R176" s="444"/>
      <c r="S176" s="444"/>
      <c r="T176" s="444"/>
      <c r="U176" s="444"/>
      <c r="V176" s="444"/>
      <c r="W176" s="444"/>
      <c r="X176" s="444"/>
      <c r="Y176" s="444"/>
      <c r="Z176" s="444"/>
      <c r="AA176" s="444"/>
    </row>
    <row r="177" spans="2:27" ht="17" hidden="1" customHeight="1">
      <c r="B177" s="444"/>
      <c r="C177" s="444"/>
      <c r="D177" s="444"/>
      <c r="E177" s="444"/>
      <c r="F177" s="444"/>
      <c r="G177" s="444"/>
      <c r="H177" s="444"/>
      <c r="I177" s="444"/>
      <c r="J177" s="444"/>
      <c r="K177" s="444"/>
      <c r="L177" s="444"/>
      <c r="M177" s="444"/>
      <c r="N177" s="444"/>
      <c r="O177" s="444"/>
      <c r="P177" s="444"/>
      <c r="Q177" s="444"/>
      <c r="R177" s="444"/>
      <c r="S177" s="444"/>
      <c r="T177" s="444"/>
      <c r="U177" s="444"/>
      <c r="V177" s="444"/>
      <c r="W177" s="444"/>
      <c r="X177" s="444"/>
      <c r="Y177" s="444"/>
      <c r="Z177" s="444"/>
      <c r="AA177" s="444"/>
    </row>
    <row r="178" spans="2:27" ht="17" hidden="1" customHeight="1">
      <c r="B178" s="444"/>
      <c r="C178" s="444"/>
      <c r="D178" s="444"/>
      <c r="E178" s="444"/>
      <c r="F178" s="444"/>
      <c r="G178" s="444"/>
      <c r="H178" s="444"/>
      <c r="I178" s="444"/>
      <c r="J178" s="444"/>
      <c r="K178" s="444"/>
      <c r="L178" s="444"/>
      <c r="M178" s="444"/>
      <c r="N178" s="444"/>
      <c r="O178" s="444"/>
      <c r="P178" s="444"/>
      <c r="Q178" s="444"/>
      <c r="R178" s="444"/>
      <c r="S178" s="444"/>
      <c r="T178" s="444"/>
      <c r="U178" s="444"/>
      <c r="V178" s="444"/>
      <c r="W178" s="444"/>
      <c r="X178" s="444"/>
      <c r="Y178" s="444"/>
      <c r="Z178" s="444"/>
      <c r="AA178" s="444"/>
    </row>
    <row r="179" spans="2:27" ht="17" hidden="1" customHeight="1">
      <c r="B179" s="444"/>
      <c r="C179" s="444"/>
      <c r="D179" s="444"/>
      <c r="E179" s="444"/>
      <c r="F179" s="444"/>
      <c r="G179" s="444"/>
      <c r="H179" s="444"/>
      <c r="I179" s="444"/>
      <c r="J179" s="444"/>
      <c r="K179" s="444"/>
      <c r="L179" s="444"/>
      <c r="M179" s="444"/>
      <c r="N179" s="444"/>
      <c r="O179" s="444"/>
      <c r="P179" s="444"/>
      <c r="Q179" s="444"/>
      <c r="R179" s="444"/>
      <c r="S179" s="444"/>
      <c r="T179" s="444"/>
      <c r="U179" s="444"/>
      <c r="V179" s="444"/>
      <c r="W179" s="444"/>
      <c r="X179" s="444"/>
      <c r="Y179" s="444"/>
      <c r="Z179" s="444"/>
      <c r="AA179" s="444"/>
    </row>
    <row r="180" spans="2:27" ht="17" hidden="1" customHeight="1">
      <c r="B180" s="444"/>
      <c r="C180" s="444"/>
      <c r="D180" s="444"/>
      <c r="E180" s="444"/>
      <c r="F180" s="444"/>
      <c r="G180" s="444"/>
      <c r="H180" s="444"/>
      <c r="I180" s="444"/>
      <c r="J180" s="444"/>
      <c r="K180" s="444"/>
      <c r="L180" s="444"/>
      <c r="M180" s="444"/>
      <c r="N180" s="444"/>
      <c r="O180" s="444"/>
      <c r="P180" s="444"/>
      <c r="Q180" s="444"/>
      <c r="R180" s="444"/>
      <c r="S180" s="444"/>
      <c r="T180" s="444"/>
      <c r="U180" s="444"/>
      <c r="V180" s="444"/>
      <c r="W180" s="444"/>
      <c r="X180" s="444"/>
      <c r="Y180" s="444"/>
      <c r="Z180" s="444"/>
      <c r="AA180" s="444"/>
    </row>
    <row r="181" spans="2:27" ht="17" hidden="1" customHeight="1">
      <c r="B181" s="444"/>
      <c r="C181" s="444"/>
      <c r="D181" s="444"/>
      <c r="E181" s="444"/>
      <c r="F181" s="444"/>
      <c r="G181" s="444"/>
      <c r="H181" s="444"/>
      <c r="I181" s="444"/>
      <c r="J181" s="444"/>
      <c r="K181" s="444"/>
      <c r="L181" s="444"/>
      <c r="M181" s="444"/>
      <c r="N181" s="444"/>
      <c r="O181" s="444"/>
      <c r="P181" s="444"/>
      <c r="Q181" s="444"/>
      <c r="R181" s="444"/>
      <c r="S181" s="444"/>
      <c r="T181" s="444"/>
      <c r="U181" s="444"/>
      <c r="V181" s="444"/>
      <c r="W181" s="444"/>
      <c r="X181" s="444"/>
      <c r="Y181" s="444"/>
      <c r="Z181" s="444"/>
      <c r="AA181" s="444"/>
    </row>
    <row r="182" spans="2:27" ht="17" hidden="1" customHeight="1">
      <c r="B182" s="444"/>
      <c r="C182" s="444"/>
      <c r="D182" s="444"/>
      <c r="E182" s="444"/>
      <c r="F182" s="444"/>
      <c r="G182" s="444"/>
      <c r="H182" s="444"/>
      <c r="I182" s="444"/>
      <c r="J182" s="444"/>
      <c r="K182" s="444"/>
      <c r="L182" s="444"/>
      <c r="M182" s="444"/>
      <c r="N182" s="444"/>
      <c r="O182" s="444"/>
      <c r="P182" s="444"/>
      <c r="Q182" s="444"/>
      <c r="R182" s="313"/>
      <c r="S182" s="313"/>
      <c r="T182" s="313"/>
      <c r="U182" s="444"/>
      <c r="V182" s="444"/>
      <c r="W182" s="444"/>
      <c r="X182" s="444"/>
      <c r="Y182" s="444"/>
      <c r="Z182" s="444"/>
      <c r="AA182" s="444"/>
    </row>
    <row r="183" spans="2:27" ht="17" hidden="1" customHeight="1">
      <c r="B183" s="444"/>
      <c r="C183" s="444"/>
      <c r="D183" s="444"/>
      <c r="E183" s="444"/>
      <c r="F183" s="444"/>
      <c r="G183" s="444"/>
      <c r="H183" s="444"/>
      <c r="I183" s="444"/>
      <c r="J183" s="444"/>
      <c r="K183" s="444"/>
      <c r="L183" s="444"/>
      <c r="M183" s="444"/>
      <c r="N183" s="444"/>
      <c r="O183" s="444"/>
      <c r="P183" s="444"/>
      <c r="Q183" s="444"/>
      <c r="R183" s="313"/>
      <c r="S183" s="313"/>
      <c r="T183" s="313"/>
      <c r="U183" s="444"/>
      <c r="V183" s="444"/>
      <c r="W183" s="444"/>
      <c r="X183" s="444"/>
      <c r="Y183" s="444"/>
      <c r="Z183" s="444"/>
      <c r="AA183" s="444"/>
    </row>
    <row r="184" spans="2:27" ht="17" hidden="1" customHeight="1">
      <c r="B184" s="444"/>
      <c r="C184" s="444"/>
      <c r="D184" s="444"/>
      <c r="E184" s="444"/>
      <c r="F184" s="444"/>
      <c r="G184" s="444"/>
      <c r="H184" s="444"/>
      <c r="I184" s="444"/>
      <c r="J184" s="444"/>
      <c r="K184" s="444"/>
      <c r="L184" s="444"/>
      <c r="M184" s="444"/>
      <c r="N184" s="444"/>
      <c r="O184" s="444"/>
      <c r="P184" s="444"/>
      <c r="Q184" s="444"/>
      <c r="R184" s="313"/>
      <c r="S184" s="313"/>
      <c r="T184" s="313"/>
      <c r="U184" s="444"/>
      <c r="V184" s="444"/>
      <c r="W184" s="444"/>
      <c r="X184" s="444"/>
      <c r="Y184" s="444"/>
      <c r="Z184" s="444"/>
      <c r="AA184" s="444"/>
    </row>
    <row r="185" spans="2:27" ht="17" hidden="1" customHeight="1">
      <c r="B185" s="444"/>
      <c r="C185" s="444"/>
      <c r="D185" s="444"/>
      <c r="E185" s="444"/>
      <c r="F185" s="444"/>
      <c r="G185" s="444"/>
      <c r="H185" s="444"/>
      <c r="I185" s="444"/>
      <c r="J185" s="444"/>
      <c r="K185" s="444"/>
      <c r="L185" s="444"/>
      <c r="M185" s="444"/>
      <c r="N185" s="444"/>
      <c r="O185" s="444"/>
      <c r="P185" s="444"/>
      <c r="Q185" s="444"/>
      <c r="R185" s="313"/>
      <c r="S185" s="313"/>
      <c r="T185" s="313"/>
      <c r="U185" s="444"/>
      <c r="V185" s="444"/>
      <c r="W185" s="444"/>
      <c r="X185" s="444"/>
      <c r="Y185" s="444"/>
      <c r="Z185" s="444"/>
      <c r="AA185" s="444"/>
    </row>
    <row r="186" spans="2:27" ht="17" hidden="1" customHeight="1">
      <c r="B186" s="444"/>
      <c r="C186" s="444"/>
      <c r="D186" s="444"/>
      <c r="E186" s="444"/>
      <c r="F186" s="444"/>
      <c r="G186" s="444"/>
      <c r="H186" s="444"/>
      <c r="I186" s="444"/>
      <c r="J186" s="444"/>
      <c r="K186" s="444"/>
      <c r="L186" s="444"/>
      <c r="M186" s="444"/>
      <c r="N186" s="444"/>
      <c r="O186" s="444"/>
      <c r="P186" s="444"/>
      <c r="Q186" s="444"/>
      <c r="R186" s="313"/>
      <c r="S186" s="313"/>
      <c r="T186" s="313"/>
      <c r="U186" s="444"/>
      <c r="V186" s="444"/>
      <c r="W186" s="444"/>
      <c r="X186" s="444"/>
      <c r="Y186" s="444"/>
      <c r="Z186" s="444"/>
      <c r="AA186" s="444"/>
    </row>
    <row r="187" spans="2:27" ht="17" hidden="1" customHeight="1">
      <c r="B187" s="444"/>
      <c r="C187" s="444"/>
      <c r="D187" s="444"/>
      <c r="E187" s="444"/>
      <c r="F187" s="444"/>
      <c r="G187" s="444"/>
      <c r="H187" s="444"/>
      <c r="I187" s="444"/>
      <c r="J187" s="444"/>
      <c r="K187" s="444"/>
      <c r="L187" s="444"/>
      <c r="M187" s="444"/>
      <c r="N187" s="444"/>
      <c r="O187" s="444"/>
      <c r="P187" s="444"/>
      <c r="Q187" s="444"/>
      <c r="R187" s="313"/>
      <c r="S187" s="313"/>
      <c r="T187" s="313"/>
      <c r="U187" s="444"/>
      <c r="V187" s="444"/>
      <c r="W187" s="444"/>
      <c r="X187" s="444"/>
      <c r="Y187" s="444"/>
      <c r="Z187" s="444"/>
      <c r="AA187" s="444"/>
    </row>
    <row r="188" spans="2:27" ht="17" hidden="1" customHeight="1">
      <c r="B188" s="444"/>
      <c r="C188" s="444"/>
      <c r="D188" s="444"/>
      <c r="E188" s="444"/>
      <c r="F188" s="444"/>
      <c r="G188" s="444"/>
      <c r="H188" s="444"/>
      <c r="I188" s="444"/>
      <c r="J188" s="444"/>
      <c r="K188" s="444"/>
      <c r="L188" s="444"/>
      <c r="M188" s="444"/>
      <c r="N188" s="444"/>
      <c r="O188" s="444"/>
      <c r="P188" s="444"/>
      <c r="Q188" s="444"/>
      <c r="R188" s="313"/>
      <c r="S188" s="313"/>
      <c r="T188" s="313"/>
      <c r="U188" s="444"/>
      <c r="V188" s="444"/>
      <c r="W188" s="444"/>
      <c r="X188" s="444"/>
      <c r="Y188" s="444"/>
      <c r="Z188" s="444"/>
      <c r="AA188" s="444"/>
    </row>
    <row r="189" spans="2:27" ht="17" hidden="1" customHeight="1">
      <c r="B189" s="444"/>
      <c r="C189" s="444"/>
      <c r="D189" s="444"/>
      <c r="E189" s="444"/>
      <c r="F189" s="444"/>
      <c r="G189" s="444"/>
      <c r="H189" s="444"/>
      <c r="I189" s="444"/>
      <c r="J189" s="444"/>
      <c r="K189" s="444"/>
      <c r="L189" s="444"/>
      <c r="M189" s="444"/>
      <c r="N189" s="444"/>
      <c r="O189" s="444"/>
      <c r="P189" s="444"/>
      <c r="Q189" s="444"/>
      <c r="R189" s="313"/>
      <c r="S189" s="313"/>
      <c r="T189" s="313"/>
      <c r="U189" s="444"/>
      <c r="V189" s="444"/>
      <c r="W189" s="444"/>
      <c r="X189" s="444"/>
      <c r="Y189" s="444"/>
      <c r="Z189" s="444"/>
      <c r="AA189" s="444"/>
    </row>
    <row r="190" spans="2:27" ht="17" hidden="1" customHeight="1">
      <c r="B190" s="444"/>
      <c r="C190" s="444"/>
      <c r="D190" s="444"/>
      <c r="E190" s="444"/>
      <c r="F190" s="444"/>
      <c r="G190" s="444"/>
      <c r="H190" s="444"/>
      <c r="I190" s="444"/>
      <c r="J190" s="444"/>
      <c r="K190" s="444"/>
      <c r="L190" s="444"/>
      <c r="M190" s="444"/>
      <c r="N190" s="444"/>
      <c r="O190" s="444"/>
      <c r="P190" s="444"/>
      <c r="Q190" s="444"/>
      <c r="R190" s="444"/>
      <c r="S190" s="444"/>
      <c r="T190" s="444"/>
      <c r="U190" s="444"/>
      <c r="V190" s="444"/>
      <c r="W190" s="444"/>
      <c r="X190" s="444"/>
      <c r="Y190" s="444"/>
      <c r="Z190" s="444"/>
      <c r="AA190" s="444"/>
    </row>
    <row r="191" spans="2:27" ht="17" hidden="1" customHeight="1">
      <c r="B191" s="444"/>
      <c r="C191" s="444"/>
      <c r="D191" s="444"/>
      <c r="E191" s="444"/>
      <c r="F191" s="444"/>
      <c r="G191" s="444"/>
      <c r="H191" s="444"/>
      <c r="I191" s="444"/>
      <c r="J191" s="444"/>
      <c r="K191" s="444"/>
      <c r="L191" s="444"/>
      <c r="M191" s="444"/>
      <c r="N191" s="444"/>
      <c r="O191" s="444"/>
      <c r="P191" s="444"/>
      <c r="Q191" s="444"/>
      <c r="R191" s="444"/>
      <c r="S191" s="444"/>
      <c r="T191" s="444"/>
      <c r="U191" s="444"/>
      <c r="V191" s="444"/>
      <c r="W191" s="444"/>
      <c r="X191" s="444"/>
      <c r="Y191" s="444"/>
      <c r="Z191" s="444"/>
      <c r="AA191" s="444"/>
    </row>
  </sheetData>
  <sheetProtection sheet="1" objects="1" scenarios="1"/>
  <mergeCells count="208">
    <mergeCell ref="K151:L151"/>
    <mergeCell ref="K152:L152"/>
    <mergeCell ref="Z53:AA53"/>
    <mergeCell ref="K81:L81"/>
    <mergeCell ref="Z38:AB38"/>
    <mergeCell ref="Z39:AB39"/>
    <mergeCell ref="Z40:AB40"/>
    <mergeCell ref="Z41:AB41"/>
    <mergeCell ref="Z42:AB42"/>
    <mergeCell ref="Z43:AB43"/>
    <mergeCell ref="Z44:AB44"/>
    <mergeCell ref="Z45:AB45"/>
    <mergeCell ref="Z46:AB46"/>
    <mergeCell ref="K63:L63"/>
    <mergeCell ref="K64:L64"/>
    <mergeCell ref="K65:L65"/>
    <mergeCell ref="K66:L66"/>
    <mergeCell ref="K61:L61"/>
    <mergeCell ref="K62:L62"/>
    <mergeCell ref="J80:M80"/>
    <mergeCell ref="Y85:Z85"/>
    <mergeCell ref="X153:X154"/>
    <mergeCell ref="AH29:AI29"/>
    <mergeCell ref="AH30:AI30"/>
    <mergeCell ref="K6:L6"/>
    <mergeCell ref="K7:L7"/>
    <mergeCell ref="K8:L8"/>
    <mergeCell ref="V85:X85"/>
    <mergeCell ref="V86:X86"/>
    <mergeCell ref="Z16:AB16"/>
    <mergeCell ref="Z17:AB17"/>
    <mergeCell ref="Z18:AB18"/>
    <mergeCell ref="Z19:AB19"/>
    <mergeCell ref="Z20:AB20"/>
    <mergeCell ref="Z21:AB21"/>
    <mergeCell ref="Z22:AB22"/>
    <mergeCell ref="Z23:AB23"/>
    <mergeCell ref="Z24:AB24"/>
    <mergeCell ref="Z25:AB25"/>
    <mergeCell ref="Z26:AB26"/>
    <mergeCell ref="Z27:AB27"/>
    <mergeCell ref="Z28:AB28"/>
    <mergeCell ref="Z29:AB29"/>
    <mergeCell ref="Z30:AB30"/>
    <mergeCell ref="Z31:AB31"/>
    <mergeCell ref="X4:AA4"/>
    <mergeCell ref="B87:C87"/>
    <mergeCell ref="V81:X81"/>
    <mergeCell ref="V82:X82"/>
    <mergeCell ref="V83:X83"/>
    <mergeCell ref="B80:C80"/>
    <mergeCell ref="B83:C83"/>
    <mergeCell ref="Y81:Z81"/>
    <mergeCell ref="Y82:Z82"/>
    <mergeCell ref="Y83:Z83"/>
    <mergeCell ref="F2:H4"/>
    <mergeCell ref="Z34:AB34"/>
    <mergeCell ref="Z35:AB35"/>
    <mergeCell ref="Z36:AB36"/>
    <mergeCell ref="Z37:AB37"/>
    <mergeCell ref="K51:L51"/>
    <mergeCell ref="K2:L2"/>
    <mergeCell ref="K3:L3"/>
    <mergeCell ref="K4:L4"/>
    <mergeCell ref="Z32:AB32"/>
    <mergeCell ref="Z33:AB33"/>
    <mergeCell ref="D23:G23"/>
    <mergeCell ref="B2:B3"/>
    <mergeCell ref="C2:E3"/>
    <mergeCell ref="I11:J11"/>
    <mergeCell ref="B159:C159"/>
    <mergeCell ref="B88:C88"/>
    <mergeCell ref="B89:C89"/>
    <mergeCell ref="B152:C152"/>
    <mergeCell ref="B81:C81"/>
    <mergeCell ref="J148:M148"/>
    <mergeCell ref="B62:C62"/>
    <mergeCell ref="D21:G21"/>
    <mergeCell ref="D22:G22"/>
    <mergeCell ref="K11:L11"/>
    <mergeCell ref="K90:L90"/>
    <mergeCell ref="K60:L60"/>
    <mergeCell ref="K52:L52"/>
    <mergeCell ref="K53:L53"/>
    <mergeCell ref="K54:L54"/>
    <mergeCell ref="K55:L55"/>
    <mergeCell ref="K56:L56"/>
    <mergeCell ref="K57:L57"/>
    <mergeCell ref="B11:C11"/>
    <mergeCell ref="H44:J44"/>
    <mergeCell ref="B29:C29"/>
    <mergeCell ref="B30:C30"/>
    <mergeCell ref="B31:C31"/>
    <mergeCell ref="AH37:AI37"/>
    <mergeCell ref="C76:C77"/>
    <mergeCell ref="G70:G71"/>
    <mergeCell ref="G72:G73"/>
    <mergeCell ref="B82:C82"/>
    <mergeCell ref="C74:D74"/>
    <mergeCell ref="B58:C58"/>
    <mergeCell ref="B59:C59"/>
    <mergeCell ref="AH38:AI38"/>
    <mergeCell ref="AH39:AI39"/>
    <mergeCell ref="AH40:AI40"/>
    <mergeCell ref="AH41:AI41"/>
    <mergeCell ref="AH42:AI42"/>
    <mergeCell ref="AH43:AI43"/>
    <mergeCell ref="Z47:AB47"/>
    <mergeCell ref="K58:L58"/>
    <mergeCell ref="K59:L59"/>
    <mergeCell ref="K76:L76"/>
    <mergeCell ref="K77:L77"/>
    <mergeCell ref="N52:X52"/>
    <mergeCell ref="N53:X53"/>
    <mergeCell ref="K82:L82"/>
    <mergeCell ref="AH31:AI31"/>
    <mergeCell ref="B12:C12"/>
    <mergeCell ref="B13:C13"/>
    <mergeCell ref="B14:C14"/>
    <mergeCell ref="C47:D47"/>
    <mergeCell ref="E47:F47"/>
    <mergeCell ref="B56:C56"/>
    <mergeCell ref="B57:C57"/>
    <mergeCell ref="B17:E17"/>
    <mergeCell ref="B18:E18"/>
    <mergeCell ref="AH32:AI32"/>
    <mergeCell ref="AH33:AI33"/>
    <mergeCell ref="AH34:AI34"/>
    <mergeCell ref="AH35:AI35"/>
    <mergeCell ref="AH36:AI36"/>
    <mergeCell ref="AH22:AI22"/>
    <mergeCell ref="AH23:AI23"/>
    <mergeCell ref="AH24:AI24"/>
    <mergeCell ref="AH25:AI25"/>
    <mergeCell ref="AH26:AI26"/>
    <mergeCell ref="AH20:AI20"/>
    <mergeCell ref="AH21:AI21"/>
    <mergeCell ref="AH27:AI27"/>
    <mergeCell ref="AH28:AI28"/>
    <mergeCell ref="B32:C32"/>
    <mergeCell ref="B33:C33"/>
    <mergeCell ref="B34:C34"/>
    <mergeCell ref="B35:C35"/>
    <mergeCell ref="B36:I36"/>
    <mergeCell ref="E34:G34"/>
    <mergeCell ref="D32:G32"/>
    <mergeCell ref="D33:G33"/>
    <mergeCell ref="E35:G35"/>
    <mergeCell ref="B25:C25"/>
    <mergeCell ref="B26:C26"/>
    <mergeCell ref="B27:C27"/>
    <mergeCell ref="B28:C28"/>
    <mergeCell ref="D24:G24"/>
    <mergeCell ref="D25:G25"/>
    <mergeCell ref="D26:G26"/>
    <mergeCell ref="D27:G27"/>
    <mergeCell ref="D28:G28"/>
    <mergeCell ref="K9:L9"/>
    <mergeCell ref="B90:C90"/>
    <mergeCell ref="H70:I71"/>
    <mergeCell ref="H72:I73"/>
    <mergeCell ref="V87:X87"/>
    <mergeCell ref="B61:C61"/>
    <mergeCell ref="C64:D64"/>
    <mergeCell ref="D40:G40"/>
    <mergeCell ref="D41:G41"/>
    <mergeCell ref="B37:C41"/>
    <mergeCell ref="B42:I42"/>
    <mergeCell ref="B43:I43"/>
    <mergeCell ref="D37:G37"/>
    <mergeCell ref="D38:G38"/>
    <mergeCell ref="D39:G39"/>
    <mergeCell ref="B60:C60"/>
    <mergeCell ref="D29:G29"/>
    <mergeCell ref="D30:G30"/>
    <mergeCell ref="D31:G31"/>
    <mergeCell ref="B20:G20"/>
    <mergeCell ref="B21:C21"/>
    <mergeCell ref="B22:C22"/>
    <mergeCell ref="B23:C23"/>
    <mergeCell ref="B24:C24"/>
    <mergeCell ref="AJ55:AK55"/>
    <mergeCell ref="AJ56:AK56"/>
    <mergeCell ref="AJ57:AK57"/>
    <mergeCell ref="AG55:AH55"/>
    <mergeCell ref="AG56:AH56"/>
    <mergeCell ref="AG57:AH57"/>
    <mergeCell ref="Z54:AB55"/>
    <mergeCell ref="J149:L149"/>
    <mergeCell ref="K147:L147"/>
    <mergeCell ref="K83:L83"/>
    <mergeCell ref="K87:L87"/>
    <mergeCell ref="K88:L88"/>
    <mergeCell ref="V80:AB80"/>
    <mergeCell ref="Y86:Z86"/>
    <mergeCell ref="Y87:Z87"/>
    <mergeCell ref="K89:L89"/>
    <mergeCell ref="N61:Y78"/>
    <mergeCell ref="Z61:AB78"/>
    <mergeCell ref="B84:C84"/>
    <mergeCell ref="B85:C85"/>
    <mergeCell ref="B86:C86"/>
    <mergeCell ref="I80:I81"/>
    <mergeCell ref="K84:L84"/>
    <mergeCell ref="K85:L85"/>
    <mergeCell ref="K86:L86"/>
    <mergeCell ref="V84:X84"/>
    <mergeCell ref="Y84:Z84"/>
  </mergeCells>
  <conditionalFormatting sqref="E62:J62">
    <cfRule type="expression" dxfId="75" priority="32">
      <formula>AND(E$62&gt;E$65,E$62&lt;E$66)</formula>
    </cfRule>
    <cfRule type="expression" dxfId="74" priority="33">
      <formula>E$62&lt;E$65</formula>
    </cfRule>
  </conditionalFormatting>
  <conditionalFormatting sqref="E62:J62">
    <cfRule type="expression" dxfId="73" priority="34">
      <formula>E$62&gt;E$66</formula>
    </cfRule>
  </conditionalFormatting>
  <conditionalFormatting sqref="K62">
    <cfRule type="expression" dxfId="72" priority="14">
      <formula>AND(K$62&gt;K$65,K$62&lt;K$66)</formula>
    </cfRule>
    <cfRule type="expression" dxfId="71" priority="15">
      <formula>K$62&lt;K$65</formula>
    </cfRule>
  </conditionalFormatting>
  <conditionalFormatting sqref="K62">
    <cfRule type="expression" dxfId="70" priority="16">
      <formula>K$62&gt;K$66</formula>
    </cfRule>
  </conditionalFormatting>
  <conditionalFormatting sqref="X11 X5:AA10">
    <cfRule type="expression" dxfId="69" priority="13">
      <formula>AND($Z5&lt;$AA5,$Z5&gt;$Y5)</formula>
    </cfRule>
  </conditionalFormatting>
  <conditionalFormatting sqref="Y53">
    <cfRule type="expression" dxfId="68" priority="10">
      <formula>OR($Y$53&lt;0.4,$Y$53&gt;2)</formula>
    </cfRule>
  </conditionalFormatting>
  <conditionalFormatting sqref="K21:K43">
    <cfRule type="cellIs" dxfId="67" priority="6" operator="equal">
      <formula>0</formula>
    </cfRule>
  </conditionalFormatting>
  <conditionalFormatting sqref="J21:J41">
    <cfRule type="cellIs" dxfId="66" priority="5" operator="equal">
      <formula>0</formula>
    </cfRule>
  </conditionalFormatting>
  <conditionalFormatting sqref="Y11:AA11">
    <cfRule type="expression" dxfId="65" priority="4">
      <formula>AND($Z11&lt;$AA11,$Z11&gt;$Y11)</formula>
    </cfRule>
  </conditionalFormatting>
  <conditionalFormatting sqref="X12:AA12">
    <cfRule type="expression" dxfId="64" priority="3">
      <formula>AND($Z12&lt;$AA12,$Z12&gt;$Y12)</formula>
    </cfRule>
  </conditionalFormatting>
  <conditionalFormatting sqref="AA148">
    <cfRule type="expression" dxfId="63" priority="1">
      <formula>$Z$148&lt;0</formula>
    </cfRule>
  </conditionalFormatting>
  <dataValidations count="4">
    <dataValidation allowBlank="1" prompt="_x000a_" sqref="B159 B82:B146" xr:uid="{09FE34A4-10CB-E842-8068-A5DAED9FB6FA}"/>
    <dataValidation type="list" allowBlank="1" showInputMessage="1" showErrorMessage="1" sqref="J12:J13" xr:uid="{D88D0F19-52CB-494C-8B8D-87DF476F4D77}">
      <formula1>"kg.,lbs.,oz."</formula1>
    </dataValidation>
    <dataValidation type="list" allowBlank="1" showInputMessage="1" showErrorMessage="1" sqref="D62" xr:uid="{03272A82-891C-D748-AC27-762293CC00FE}">
      <formula1>"0%,10%,20%,30%,40%,50%,60%,70%,80%,90%,100%"</formula1>
    </dataValidation>
    <dataValidation type="list" allowBlank="1" showInputMessage="1" showErrorMessage="1" sqref="V82:X87" xr:uid="{F9C1D5AB-15ED-1E44-BD75-81B05D8381B3}">
      <formula1>"Primaire,Secondaire,Ajout,Dry"</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6">
        <x14:dataValidation type="list" allowBlank="1" showInputMessage="1" showErrorMessage="1" xr:uid="{EAF77E3B-DC56-8E49-9536-C250667FF8F4}">
          <x14:formula1>
            <xm:f>BDD!$D$34:$D$41</xm:f>
          </x14:formula1>
          <xm:sqref>B152:C152</xm:sqref>
        </x14:dataValidation>
        <x14:dataValidation type="list" allowBlank="1" showInputMessage="1" showErrorMessage="1" xr:uid="{20E78AD4-34F2-D144-B8DA-3C80795B4E20}">
          <x14:formula1>
            <xm:f>Waterprofile!$A$3:$A$74</xm:f>
          </x14:formula1>
          <xm:sqref>C64:D64 C67:D67 D65:D66</xm:sqref>
        </x14:dataValidation>
        <x14:dataValidation type="list" allowBlank="1" showInputMessage="1" showErrorMessage="1" xr:uid="{3C9B0850-9168-5448-A268-3ABC02E63F2D}">
          <x14:formula1>
            <xm:f>Styles!$A$3:$A$102</xm:f>
          </x14:formula1>
          <xm:sqref>X4:AA4</xm:sqref>
        </x14:dataValidation>
        <x14:dataValidation type="list" allowBlank="1" showInputMessage="1" showErrorMessage="1" xr:uid="{3874D28D-E0E6-1A43-9EF6-2EC760B3B882}">
          <x14:formula1>
            <xm:f>BDD!$D$83:$D$91</xm:f>
          </x14:formula1>
          <xm:sqref>E4</xm:sqref>
        </x14:dataValidation>
        <x14:dataValidation type="list" allowBlank="1" showInputMessage="1" showErrorMessage="1" xr:uid="{DBEDC45E-CAE9-014F-A925-C4FAE620E01C}">
          <x14:formula1>
            <xm:f>BDD!$I$2:$I$72</xm:f>
          </x14:formula1>
          <xm:sqref>D21:D33</xm:sqref>
        </x14:dataValidation>
        <x14:dataValidation type="list" allowBlank="1" showInputMessage="1" showErrorMessage="1" xr:uid="{4D916393-C407-6C40-9C37-46CFAAEDA61B}">
          <x14:formula1>
            <xm:f>BDD!$A$2:$A$31</xm:f>
          </x14:formula1>
          <xm:sqref>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1A6DC-BD27-B249-BC11-6D72DFD09183}">
  <sheetPr codeName="Feuil6">
    <pageSetUpPr fitToPage="1"/>
  </sheetPr>
  <dimension ref="A1:O80"/>
  <sheetViews>
    <sheetView topLeftCell="A10" workbookViewId="0">
      <selection activeCell="E30" sqref="E30"/>
    </sheetView>
  </sheetViews>
  <sheetFormatPr baseColWidth="10" defaultColWidth="0" defaultRowHeight="16" zeroHeight="1"/>
  <cols>
    <col min="1" max="1" width="18.6640625" style="529" customWidth="1"/>
    <col min="2" max="4" width="18.6640625" style="530" customWidth="1"/>
    <col min="5" max="5" width="18.6640625" style="426" customWidth="1"/>
    <col min="6" max="9" width="18.6640625" style="106" customWidth="1"/>
    <col min="10" max="10" width="0.1640625" style="106" customWidth="1"/>
    <col min="11" max="12" width="10.83203125" style="106" hidden="1" customWidth="1"/>
    <col min="13" max="13" width="18.83203125" style="106" hidden="1" customWidth="1"/>
    <col min="14" max="14" width="16.6640625" style="106" hidden="1" customWidth="1"/>
    <col min="15" max="15" width="19.33203125" style="106" hidden="1" customWidth="1"/>
    <col min="16" max="16384" width="10.83203125" style="106" hidden="1"/>
  </cols>
  <sheetData>
    <row r="1" spans="1:9" ht="23" customHeight="1">
      <c r="A1" s="106"/>
      <c r="B1" s="1054" t="str">
        <f>Batch!C2</f>
        <v>Virgin Tropical Serendipity</v>
      </c>
      <c r="C1" s="1054"/>
      <c r="D1" s="1054"/>
      <c r="E1" s="1054"/>
      <c r="F1" s="1054"/>
      <c r="G1" s="1054"/>
      <c r="H1" s="1054"/>
      <c r="I1" s="1054"/>
    </row>
    <row r="2" spans="1:9" ht="23" customHeight="1">
      <c r="A2" s="106"/>
      <c r="B2" s="1054"/>
      <c r="C2" s="1054"/>
      <c r="D2" s="1054"/>
      <c r="E2" s="1054"/>
      <c r="F2" s="1054"/>
      <c r="G2" s="1054"/>
      <c r="H2" s="1054"/>
      <c r="I2" s="1054"/>
    </row>
    <row r="3" spans="1:9" ht="16" customHeight="1" thickBot="1">
      <c r="A3" s="106"/>
      <c r="B3" s="422"/>
      <c r="C3" s="422"/>
      <c r="D3" s="470"/>
      <c r="E3" s="470"/>
      <c r="F3" s="422"/>
    </row>
    <row r="4" spans="1:9" ht="34" customHeight="1">
      <c r="A4" s="423"/>
      <c r="B4" s="424" t="s">
        <v>32</v>
      </c>
      <c r="C4" s="424" t="s">
        <v>35</v>
      </c>
      <c r="D4" s="424" t="s">
        <v>33</v>
      </c>
      <c r="E4" s="424" t="s">
        <v>36</v>
      </c>
      <c r="F4" s="424" t="s">
        <v>1179</v>
      </c>
      <c r="G4" s="424" t="s">
        <v>1173</v>
      </c>
      <c r="H4" s="424" t="s">
        <v>385</v>
      </c>
      <c r="I4" s="425" t="s">
        <v>34</v>
      </c>
    </row>
    <row r="5" spans="1:9" ht="51" customHeight="1">
      <c r="A5" s="535" t="s">
        <v>37</v>
      </c>
      <c r="B5" s="632">
        <f>IF(Batch!C7="","",Batch!C7)</f>
        <v>43975</v>
      </c>
      <c r="C5" s="632"/>
      <c r="D5" s="632"/>
      <c r="E5" s="632"/>
      <c r="F5" s="632"/>
      <c r="G5" s="632"/>
      <c r="H5" s="632"/>
      <c r="I5" s="633"/>
    </row>
    <row r="6" spans="1:9" ht="51" customHeight="1">
      <c r="A6" s="535" t="s">
        <v>16</v>
      </c>
      <c r="B6" s="634">
        <f>IF(Batch!C8="","",Batch!C8)</f>
        <v>9.1</v>
      </c>
      <c r="C6" s="634"/>
      <c r="D6" s="634"/>
      <c r="E6" s="634"/>
      <c r="F6" s="634"/>
      <c r="G6" s="634"/>
      <c r="H6" s="634"/>
      <c r="I6" s="635"/>
    </row>
    <row r="7" spans="1:9" ht="51" customHeight="1" thickBot="1">
      <c r="A7" s="536"/>
      <c r="B7" s="636" t="str">
        <f>"Target: "&amp;ROUND(Batch!C9,1)&amp;" P°"</f>
        <v>Target: 9.2 P°</v>
      </c>
      <c r="C7" s="526" t="s">
        <v>2890</v>
      </c>
      <c r="D7" s="525" t="s">
        <v>2889</v>
      </c>
      <c r="E7" s="526" t="s">
        <v>2890</v>
      </c>
      <c r="F7" s="526" t="s">
        <v>2890</v>
      </c>
      <c r="G7" s="526" t="s">
        <v>2890</v>
      </c>
      <c r="H7" s="526" t="s">
        <v>2890</v>
      </c>
      <c r="I7" s="637" t="str">
        <f>"Target: "&amp;ROUND(Batch!J9,1)&amp;" P°"</f>
        <v>Target: 7.7 P°</v>
      </c>
    </row>
    <row r="8" spans="1:9" ht="17" thickBot="1">
      <c r="A8" s="106"/>
      <c r="B8" s="106"/>
      <c r="C8" s="106"/>
      <c r="D8" s="106"/>
      <c r="E8" s="106"/>
    </row>
    <row r="9" spans="1:9" ht="32" customHeight="1">
      <c r="A9" s="1059" t="s">
        <v>358</v>
      </c>
      <c r="B9" s="1060"/>
      <c r="C9" s="1060"/>
      <c r="D9" s="1060"/>
      <c r="E9" s="1061" t="s">
        <v>366</v>
      </c>
      <c r="F9" s="1061"/>
      <c r="G9" s="1061"/>
      <c r="H9" s="1061"/>
      <c r="I9" s="1062"/>
    </row>
    <row r="10" spans="1:9" ht="32" customHeight="1">
      <c r="A10" s="527" t="s">
        <v>359</v>
      </c>
      <c r="B10" s="1057" t="s">
        <v>360</v>
      </c>
      <c r="C10" s="1058"/>
      <c r="D10" s="528" t="s">
        <v>361</v>
      </c>
      <c r="E10" s="1063"/>
      <c r="F10" s="1063"/>
      <c r="G10" s="1063"/>
      <c r="H10" s="1063"/>
      <c r="I10" s="1064"/>
    </row>
    <row r="11" spans="1:9" ht="32" customHeight="1">
      <c r="A11" s="531" t="str">
        <f>IF(Batch!V82="","",Batch!V82)</f>
        <v/>
      </c>
      <c r="B11" s="1055" t="str">
        <f>IF(Batch!Y82="","",Batch!Y82)</f>
        <v/>
      </c>
      <c r="C11" s="1056"/>
      <c r="D11" s="532" t="str">
        <f>IF(Batch!AA82="","",Batch!AA82)</f>
        <v/>
      </c>
      <c r="E11" s="1063"/>
      <c r="F11" s="1063"/>
      <c r="G11" s="1063"/>
      <c r="H11" s="1063"/>
      <c r="I11" s="1064"/>
    </row>
    <row r="12" spans="1:9" ht="32" customHeight="1">
      <c r="A12" s="531" t="str">
        <f>IF(Batch!V83="","",Batch!V83)</f>
        <v/>
      </c>
      <c r="B12" s="1055" t="str">
        <f>IF(Batch!Y83="","",Batch!Y83)</f>
        <v/>
      </c>
      <c r="C12" s="1056"/>
      <c r="D12" s="532" t="str">
        <f>IF(Batch!AA83="","",Batch!AA83)</f>
        <v/>
      </c>
      <c r="E12" s="1063"/>
      <c r="F12" s="1063"/>
      <c r="G12" s="1063"/>
      <c r="H12" s="1063"/>
      <c r="I12" s="1064"/>
    </row>
    <row r="13" spans="1:9" ht="32" customHeight="1">
      <c r="A13" s="531" t="str">
        <f>IF(Batch!V84="","",Batch!V84)</f>
        <v/>
      </c>
      <c r="B13" s="1055" t="str">
        <f>IF(Batch!Y84="","",Batch!Y84)</f>
        <v/>
      </c>
      <c r="C13" s="1056"/>
      <c r="D13" s="532" t="str">
        <f>IF(Batch!AA84="","",Batch!AA84)</f>
        <v/>
      </c>
      <c r="E13" s="1063"/>
      <c r="F13" s="1063"/>
      <c r="G13" s="1063"/>
      <c r="H13" s="1063"/>
      <c r="I13" s="1064"/>
    </row>
    <row r="14" spans="1:9" ht="32" customHeight="1">
      <c r="A14" s="531" t="str">
        <f>IF(Batch!V85="","",Batch!V85)</f>
        <v/>
      </c>
      <c r="B14" s="1055" t="str">
        <f>IF(Batch!Y85="","",Batch!Y85)</f>
        <v/>
      </c>
      <c r="C14" s="1056"/>
      <c r="D14" s="532" t="str">
        <f>IF(Batch!AA85="","",Batch!AA85)</f>
        <v/>
      </c>
      <c r="E14" s="1063"/>
      <c r="F14" s="1063"/>
      <c r="G14" s="1063"/>
      <c r="H14" s="1063"/>
      <c r="I14" s="1064"/>
    </row>
    <row r="15" spans="1:9" ht="32" customHeight="1">
      <c r="A15" s="531" t="str">
        <f>IF(Batch!V86="","",Batch!V86)</f>
        <v/>
      </c>
      <c r="B15" s="1055" t="str">
        <f>IF(Batch!Y86="","",Batch!Y86)</f>
        <v/>
      </c>
      <c r="C15" s="1056"/>
      <c r="D15" s="532" t="str">
        <f>IF(Batch!AA86="","",Batch!AA86)</f>
        <v/>
      </c>
      <c r="E15" s="1063"/>
      <c r="F15" s="1063"/>
      <c r="G15" s="1063"/>
      <c r="H15" s="1063"/>
      <c r="I15" s="1064"/>
    </row>
    <row r="16" spans="1:9" ht="32" customHeight="1" thickBot="1">
      <c r="A16" s="533" t="str">
        <f>IF(Batch!V87="","",Batch!V87)</f>
        <v/>
      </c>
      <c r="B16" s="1067" t="str">
        <f>IF(Batch!Y87="","",Batch!Y87)</f>
        <v/>
      </c>
      <c r="C16" s="1068"/>
      <c r="D16" s="534" t="str">
        <f>IF(Batch!AA87="","",Batch!AA87)</f>
        <v/>
      </c>
      <c r="E16" s="1065"/>
      <c r="F16" s="1065"/>
      <c r="G16" s="1065"/>
      <c r="H16" s="1065"/>
      <c r="I16" s="1066"/>
    </row>
    <row r="17" spans="1:14"/>
    <row r="18" spans="1:14"/>
    <row r="19" spans="1:14"/>
    <row r="20" spans="1:14"/>
    <row r="21" spans="1:14" ht="17" thickBot="1"/>
    <row r="22" spans="1:14">
      <c r="A22" s="690" t="s">
        <v>2931</v>
      </c>
      <c r="B22" s="1069" t="str">
        <f>IF(Batch!D21="","",Batch!D21)</f>
        <v>Simpsons - Finest Pale Ale Maris Otter</v>
      </c>
      <c r="C22" s="1070"/>
      <c r="D22" s="685">
        <f>IF(Batch!J21=0,"",Batch!J21)</f>
        <v>1.35</v>
      </c>
      <c r="E22" s="691" t="s">
        <v>2933</v>
      </c>
      <c r="F22" s="692" t="s">
        <v>14</v>
      </c>
      <c r="G22" s="703">
        <f>Batch!E48</f>
        <v>4.5033333333333339</v>
      </c>
      <c r="H22" s="697" t="s">
        <v>856</v>
      </c>
      <c r="I22" s="700">
        <f>Batch!D56</f>
        <v>1.5</v>
      </c>
    </row>
    <row r="23" spans="1:14" ht="17" thickBot="1">
      <c r="B23" s="1071" t="str">
        <f>IF(Batch!D22="","",Batch!D22)</f>
        <v>Simpsons - T50</v>
      </c>
      <c r="C23" s="1072"/>
      <c r="D23" s="687">
        <f>IF(Batch!J22=0,"",Batch!J22)</f>
        <v>0.4</v>
      </c>
      <c r="E23" s="530"/>
      <c r="F23" s="693" t="s">
        <v>2934</v>
      </c>
      <c r="G23" s="704">
        <f>Batch!E49</f>
        <v>10.5</v>
      </c>
      <c r="H23" s="698" t="s">
        <v>857</v>
      </c>
      <c r="I23" s="701">
        <f>Batch!D57</f>
        <v>0</v>
      </c>
    </row>
    <row r="24" spans="1:14" ht="17" thickBot="1">
      <c r="B24" s="1071" t="str">
        <f>IF(Batch!D23="","",Batch!D23)</f>
        <v>Weyermann - Acidulated</v>
      </c>
      <c r="C24" s="1072"/>
      <c r="D24" s="687">
        <f>IF(Batch!J23=0,"",Batch!J23)</f>
        <v>0.05</v>
      </c>
      <c r="E24" s="530"/>
      <c r="F24" s="426"/>
      <c r="H24" s="698" t="s">
        <v>858</v>
      </c>
      <c r="I24" s="701">
        <f>Batch!D58</f>
        <v>0</v>
      </c>
    </row>
    <row r="25" spans="1:14">
      <c r="B25" s="1071" t="str">
        <f>IF(Batch!D24="","",Batch!D24)</f>
        <v/>
      </c>
      <c r="C25" s="1072"/>
      <c r="D25" s="687" t="str">
        <f>IF(Batch!J24=0,"",Batch!J24)</f>
        <v/>
      </c>
      <c r="E25" s="530"/>
      <c r="F25" s="694" t="s">
        <v>2938</v>
      </c>
      <c r="G25" s="705">
        <f>Batch!D53*Batch!D54*Batch!D62</f>
        <v>0</v>
      </c>
      <c r="H25" s="698" t="s">
        <v>2936</v>
      </c>
      <c r="I25" s="701">
        <f>Batch!D59</f>
        <v>3</v>
      </c>
    </row>
    <row r="26" spans="1:14">
      <c r="B26" s="1071" t="str">
        <f>IF(Batch!D25="","",Batch!D25)</f>
        <v/>
      </c>
      <c r="C26" s="1072"/>
      <c r="D26" s="687" t="str">
        <f>IF(Batch!J25=0,"",Batch!J25)</f>
        <v/>
      </c>
      <c r="E26" s="530"/>
      <c r="F26" s="695" t="s">
        <v>855</v>
      </c>
      <c r="G26" s="706">
        <f>Batch!D55*Batch!D53</f>
        <v>0</v>
      </c>
      <c r="H26" s="698" t="s">
        <v>2935</v>
      </c>
      <c r="I26" s="701">
        <f>Batch!D60</f>
        <v>0</v>
      </c>
    </row>
    <row r="27" spans="1:14" ht="17" thickBot="1">
      <c r="B27" s="1071" t="str">
        <f>IF(Batch!D26="","",Batch!D26)</f>
        <v/>
      </c>
      <c r="C27" s="1072"/>
      <c r="D27" s="687" t="str">
        <f>IF(Batch!J26=0,"",Batch!J26)</f>
        <v/>
      </c>
      <c r="E27" s="530"/>
      <c r="F27" s="696" t="s">
        <v>2937</v>
      </c>
      <c r="G27" s="707">
        <f>Batch!D54*Batch!D53-G25</f>
        <v>15</v>
      </c>
      <c r="H27" s="699" t="s">
        <v>861</v>
      </c>
      <c r="I27" s="702">
        <f>Batch!D61</f>
        <v>0</v>
      </c>
    </row>
    <row r="28" spans="1:14" ht="17" thickBot="1">
      <c r="B28" s="1071" t="str">
        <f>IF(Batch!D27="","",Batch!D27)</f>
        <v/>
      </c>
      <c r="C28" s="1072"/>
      <c r="D28" s="687" t="str">
        <f>IF(Batch!J27=0,"",Batch!J27)</f>
        <v/>
      </c>
      <c r="E28" s="530"/>
      <c r="F28" s="426"/>
      <c r="N28" s="715"/>
    </row>
    <row r="29" spans="1:14">
      <c r="B29" s="1071" t="str">
        <f>IF(Batch!D28="","",Batch!D28)</f>
        <v/>
      </c>
      <c r="C29" s="1072"/>
      <c r="D29" s="687" t="str">
        <f>IF(Batch!J28=0,"",Batch!J28)</f>
        <v/>
      </c>
      <c r="E29" s="690" t="s">
        <v>2940</v>
      </c>
      <c r="F29" s="692" t="str">
        <f t="shared" ref="F29:F37" si="0">B54</f>
        <v>Nelson Sauvin</v>
      </c>
      <c r="G29" s="717">
        <f t="shared" ref="G29:G37" si="1">SUM(C54:G54)</f>
        <v>30</v>
      </c>
      <c r="N29" s="715"/>
    </row>
    <row r="30" spans="1:14">
      <c r="B30" s="1071" t="str">
        <f>IF(Batch!D29="","",Batch!D29)</f>
        <v/>
      </c>
      <c r="C30" s="1072"/>
      <c r="D30" s="687" t="str">
        <f>IF(Batch!J29=0,"",Batch!J29)</f>
        <v/>
      </c>
      <c r="E30" s="530"/>
      <c r="F30" s="716" t="str">
        <f t="shared" si="0"/>
        <v>Motueka</v>
      </c>
      <c r="G30" s="718">
        <f t="shared" si="1"/>
        <v>30</v>
      </c>
      <c r="N30" s="715"/>
    </row>
    <row r="31" spans="1:14">
      <c r="B31" s="1071" t="str">
        <f>IF(Batch!D30="","",Batch!D30)</f>
        <v/>
      </c>
      <c r="C31" s="1072"/>
      <c r="D31" s="687" t="str">
        <f>IF(Batch!J30=0,"",Batch!J30)</f>
        <v/>
      </c>
      <c r="E31" s="530"/>
      <c r="F31" s="716" t="str">
        <f t="shared" si="0"/>
        <v>Citra</v>
      </c>
      <c r="G31" s="718">
        <f t="shared" si="1"/>
        <v>17</v>
      </c>
      <c r="N31" s="715"/>
    </row>
    <row r="32" spans="1:14">
      <c r="B32" s="1071" t="str">
        <f>IF(Batch!D31="","",Batch!D31)</f>
        <v/>
      </c>
      <c r="C32" s="1072"/>
      <c r="D32" s="687" t="str">
        <f>IF(Batch!J31=0,"",Batch!J31)</f>
        <v/>
      </c>
      <c r="E32" s="530"/>
      <c r="F32" s="716" t="str">
        <f t="shared" si="0"/>
        <v/>
      </c>
      <c r="G32" s="718">
        <f t="shared" si="1"/>
        <v>0</v>
      </c>
      <c r="N32" s="715"/>
    </row>
    <row r="33" spans="1:14">
      <c r="B33" s="1071" t="str">
        <f>IF(Batch!D32="","",Batch!D32)</f>
        <v/>
      </c>
      <c r="C33" s="1072"/>
      <c r="D33" s="687" t="str">
        <f>IF(Batch!J32=0,"",Batch!J32)</f>
        <v/>
      </c>
      <c r="E33" s="530"/>
      <c r="F33" s="716" t="str">
        <f t="shared" si="0"/>
        <v/>
      </c>
      <c r="G33" s="718">
        <f t="shared" si="1"/>
        <v>0</v>
      </c>
      <c r="N33" s="715"/>
    </row>
    <row r="34" spans="1:14">
      <c r="B34" s="1071" t="str">
        <f>IF(Batch!D33="","",Batch!D33)</f>
        <v/>
      </c>
      <c r="C34" s="1072"/>
      <c r="D34" s="687" t="str">
        <f>IF(Batch!J33=0,"",Batch!J33)</f>
        <v/>
      </c>
      <c r="E34" s="530"/>
      <c r="F34" s="716" t="str">
        <f t="shared" si="0"/>
        <v/>
      </c>
      <c r="G34" s="718">
        <f t="shared" si="1"/>
        <v>0</v>
      </c>
      <c r="N34" s="715"/>
    </row>
    <row r="35" spans="1:14">
      <c r="B35" s="1071" t="str">
        <f>IF(Batch!E34="","",Batch!E34)</f>
        <v/>
      </c>
      <c r="C35" s="1072"/>
      <c r="D35" s="687" t="str">
        <f>IF(Batch!J34=0,"",Batch!J34)</f>
        <v/>
      </c>
      <c r="E35" s="530"/>
      <c r="F35" s="716" t="str">
        <f t="shared" si="0"/>
        <v/>
      </c>
      <c r="G35" s="718">
        <f t="shared" si="1"/>
        <v>0</v>
      </c>
      <c r="N35" s="715"/>
    </row>
    <row r="36" spans="1:14">
      <c r="B36" s="1071" t="str">
        <f>IF(Batch!E35="","",Batch!E35)</f>
        <v/>
      </c>
      <c r="C36" s="1072"/>
      <c r="D36" s="687" t="str">
        <f>IF(Batch!J35=0,"",Batch!J35)</f>
        <v/>
      </c>
      <c r="E36" s="530"/>
      <c r="F36" s="716" t="str">
        <f t="shared" si="0"/>
        <v/>
      </c>
      <c r="G36" s="718">
        <f t="shared" si="1"/>
        <v>0</v>
      </c>
      <c r="N36" s="715"/>
    </row>
    <row r="37" spans="1:14" ht="17" thickBot="1">
      <c r="B37" s="1073" t="str">
        <f>IF(Batch!D36="","",Batch!D36)</f>
        <v/>
      </c>
      <c r="C37" s="1074"/>
      <c r="D37" s="689">
        <f>IF(Batch!J36=0,"",Batch!J36)</f>
        <v>1.8</v>
      </c>
      <c r="E37" s="530"/>
      <c r="F37" s="693" t="str">
        <f t="shared" si="0"/>
        <v/>
      </c>
      <c r="G37" s="719">
        <f t="shared" si="1"/>
        <v>0</v>
      </c>
      <c r="N37" s="715"/>
    </row>
    <row r="38" spans="1:14">
      <c r="A38" s="690" t="s">
        <v>2932</v>
      </c>
      <c r="B38" s="1069" t="str">
        <f>IF(Batch!D37="","",Batch!D37)</f>
        <v/>
      </c>
      <c r="C38" s="1070"/>
      <c r="D38" s="685" t="str">
        <f>IF(Batch!J37=0,"",Batch!J37)</f>
        <v/>
      </c>
      <c r="E38" s="530"/>
      <c r="F38" s="5"/>
      <c r="G38" s="745"/>
      <c r="N38" s="715"/>
    </row>
    <row r="39" spans="1:14">
      <c r="B39" s="1071" t="str">
        <f>IF(Batch!D38="","",Batch!D38)</f>
        <v/>
      </c>
      <c r="C39" s="1072"/>
      <c r="D39" s="687" t="str">
        <f>IF(Batch!J38=0,"",Batch!J38)</f>
        <v/>
      </c>
      <c r="E39" s="530"/>
      <c r="F39" s="5"/>
      <c r="G39" s="745"/>
      <c r="N39" s="715"/>
    </row>
    <row r="40" spans="1:14">
      <c r="B40" s="1071" t="str">
        <f>IF(Batch!D39="","",Batch!D39)</f>
        <v/>
      </c>
      <c r="C40" s="1072"/>
      <c r="D40" s="687" t="str">
        <f>IF(Batch!J39=0,"",Batch!J39)</f>
        <v/>
      </c>
      <c r="E40" s="530"/>
      <c r="F40" s="5"/>
      <c r="G40" s="745"/>
    </row>
    <row r="41" spans="1:14">
      <c r="B41" s="1071" t="str">
        <f>IF(Batch!D40="","",Batch!D40)</f>
        <v/>
      </c>
      <c r="C41" s="1072"/>
      <c r="D41" s="687" t="str">
        <f>IF(Batch!J40=0,"",Batch!J40)</f>
        <v/>
      </c>
      <c r="E41" s="530"/>
    </row>
    <row r="42" spans="1:14" ht="17" thickBot="1">
      <c r="B42" s="1073" t="str">
        <f>IF(Batch!D41="","",Batch!D41)</f>
        <v/>
      </c>
      <c r="C42" s="1074"/>
      <c r="D42" s="689" t="str">
        <f>IF(Batch!J41=0,"",Batch!J41)</f>
        <v/>
      </c>
      <c r="E42" s="530"/>
    </row>
    <row r="43" spans="1:14">
      <c r="B43" s="530" t="str">
        <f>IF(Batch!D42="","",Batch!D42)</f>
        <v/>
      </c>
    </row>
    <row r="44" spans="1:14" ht="17" thickBot="1">
      <c r="C44" s="712"/>
      <c r="D44" s="712"/>
      <c r="E44" s="6"/>
    </row>
    <row r="45" spans="1:14" ht="33" customHeight="1">
      <c r="B45" s="708"/>
      <c r="C45" s="713" t="s">
        <v>188</v>
      </c>
      <c r="D45" s="713" t="s">
        <v>12</v>
      </c>
      <c r="E45" s="714" t="s">
        <v>2939</v>
      </c>
    </row>
    <row r="46" spans="1:14" ht="33" customHeight="1">
      <c r="B46" s="75" t="s">
        <v>9</v>
      </c>
      <c r="C46" s="709">
        <f>Batch!D70</f>
        <v>72</v>
      </c>
      <c r="D46" s="710">
        <f>Batch!E70</f>
        <v>45</v>
      </c>
      <c r="E46" s="746" t="s">
        <v>2942</v>
      </c>
    </row>
    <row r="47" spans="1:14" ht="33" customHeight="1">
      <c r="B47" s="75" t="s">
        <v>10</v>
      </c>
      <c r="C47" s="709" t="str">
        <f>Batch!D71</f>
        <v/>
      </c>
      <c r="D47" s="710" t="str">
        <f>Batch!E71</f>
        <v/>
      </c>
      <c r="E47" s="746" t="s">
        <v>2942</v>
      </c>
    </row>
    <row r="48" spans="1:14" ht="33" customHeight="1">
      <c r="B48" s="75" t="s">
        <v>11</v>
      </c>
      <c r="C48" s="709" t="str">
        <f>Batch!D72</f>
        <v/>
      </c>
      <c r="D48" s="710" t="str">
        <f>Batch!E72</f>
        <v/>
      </c>
      <c r="E48" s="746" t="s">
        <v>2942</v>
      </c>
    </row>
    <row r="49" spans="2:9" ht="33" customHeight="1">
      <c r="B49" s="75" t="s">
        <v>13</v>
      </c>
      <c r="C49" s="709">
        <f>Batch!D73</f>
        <v>76</v>
      </c>
      <c r="D49" s="710">
        <f>Batch!E73</f>
        <v>10</v>
      </c>
      <c r="E49" s="746" t="s">
        <v>2942</v>
      </c>
    </row>
    <row r="50" spans="2:9" ht="33" customHeight="1" thickBot="1">
      <c r="B50" s="1050" t="s">
        <v>5</v>
      </c>
      <c r="C50" s="1051"/>
      <c r="D50" s="711">
        <f>SUM(D46:D49)</f>
        <v>55</v>
      </c>
      <c r="E50" s="722" t="s">
        <v>2942</v>
      </c>
    </row>
    <row r="51" spans="2:9" ht="33" customHeight="1" thickBot="1"/>
    <row r="52" spans="2:9" ht="33" customHeight="1">
      <c r="B52" s="720" t="s">
        <v>2941</v>
      </c>
      <c r="C52" s="721" t="str">
        <f>Batch!E80&amp;" "&amp;Batch!E81&amp;" min."</f>
        <v>Start après… 0 min.</v>
      </c>
      <c r="D52" s="721" t="str">
        <f>Batch!F80&amp;" "&amp;Batch!F81&amp;" min."</f>
        <v>Mid après... 30 min.</v>
      </c>
      <c r="E52" s="721" t="str">
        <f>Batch!G80&amp;" "&amp;Batch!G81&amp;" min."</f>
        <v>End après… 50 min.</v>
      </c>
      <c r="F52" s="737" t="str">
        <f>Batch!H80&amp;" "&amp;Batch!H81&amp;" min."</f>
        <v>Whirlpool 60 min.</v>
      </c>
      <c r="G52" s="1052" t="s">
        <v>302</v>
      </c>
      <c r="H52" s="712"/>
      <c r="I52" s="712"/>
    </row>
    <row r="53" spans="2:9" ht="41" customHeight="1" thickBot="1">
      <c r="B53" s="723" t="s">
        <v>2942</v>
      </c>
      <c r="C53" s="724" t="s">
        <v>2942</v>
      </c>
      <c r="D53" s="724" t="s">
        <v>2942</v>
      </c>
      <c r="E53" s="724" t="s">
        <v>2942</v>
      </c>
      <c r="F53" s="738" t="s">
        <v>2942</v>
      </c>
      <c r="G53" s="1053"/>
      <c r="H53" s="712"/>
      <c r="I53" s="712"/>
    </row>
    <row r="54" spans="2:9" ht="33" customHeight="1">
      <c r="B54" s="684" t="str">
        <f>Batch!B82</f>
        <v>Nelson Sauvin</v>
      </c>
      <c r="C54" s="726" t="str">
        <f>Batch!E82</f>
        <v/>
      </c>
      <c r="D54" s="726" t="str">
        <f>Batch!F82</f>
        <v/>
      </c>
      <c r="E54" s="726">
        <f>Batch!G82</f>
        <v>10</v>
      </c>
      <c r="F54" s="739">
        <f>Batch!H82</f>
        <v>20</v>
      </c>
      <c r="G54" s="740" t="str">
        <f>Batch!I82</f>
        <v/>
      </c>
      <c r="H54" s="712"/>
      <c r="I54" s="712"/>
    </row>
    <row r="55" spans="2:9" ht="33" customHeight="1">
      <c r="B55" s="686" t="str">
        <f>Batch!B83</f>
        <v>Motueka</v>
      </c>
      <c r="C55" s="725" t="str">
        <f>Batch!E83</f>
        <v/>
      </c>
      <c r="D55" s="725" t="str">
        <f>Batch!F83</f>
        <v/>
      </c>
      <c r="E55" s="725">
        <f>Batch!G83</f>
        <v>10</v>
      </c>
      <c r="F55" s="741">
        <f>Batch!H83</f>
        <v>20</v>
      </c>
      <c r="G55" s="742" t="str">
        <f>Batch!I83</f>
        <v/>
      </c>
      <c r="H55" s="712"/>
      <c r="I55" s="712"/>
    </row>
    <row r="56" spans="2:9" ht="33" customHeight="1">
      <c r="B56" s="686" t="str">
        <f>Batch!B84</f>
        <v>Citra</v>
      </c>
      <c r="C56" s="725">
        <f>Batch!E84</f>
        <v>2</v>
      </c>
      <c r="D56" s="725">
        <f>Batch!F84</f>
        <v>15</v>
      </c>
      <c r="E56" s="725" t="str">
        <f>Batch!G84</f>
        <v/>
      </c>
      <c r="F56" s="741" t="str">
        <f>Batch!H84</f>
        <v/>
      </c>
      <c r="G56" s="742" t="str">
        <f>Batch!I84</f>
        <v/>
      </c>
      <c r="H56" s="712"/>
      <c r="I56" s="712"/>
    </row>
    <row r="57" spans="2:9" ht="33" customHeight="1">
      <c r="B57" s="686" t="str">
        <f>Batch!B85</f>
        <v/>
      </c>
      <c r="C57" s="725" t="str">
        <f>Batch!E85</f>
        <v/>
      </c>
      <c r="D57" s="725" t="str">
        <f>Batch!F85</f>
        <v/>
      </c>
      <c r="E57" s="725" t="str">
        <f>Batch!G85</f>
        <v/>
      </c>
      <c r="F57" s="741" t="str">
        <f>Batch!H85</f>
        <v/>
      </c>
      <c r="G57" s="742" t="str">
        <f>Batch!I85</f>
        <v/>
      </c>
      <c r="H57" s="712"/>
      <c r="I57" s="712"/>
    </row>
    <row r="58" spans="2:9" ht="33" customHeight="1">
      <c r="B58" s="686" t="str">
        <f>Batch!B86</f>
        <v/>
      </c>
      <c r="C58" s="725" t="str">
        <f>Batch!E86</f>
        <v/>
      </c>
      <c r="D58" s="725" t="str">
        <f>Batch!F86</f>
        <v/>
      </c>
      <c r="E58" s="725" t="str">
        <f>Batch!G86</f>
        <v/>
      </c>
      <c r="F58" s="741" t="str">
        <f>Batch!H86</f>
        <v/>
      </c>
      <c r="G58" s="742" t="str">
        <f>Batch!I86</f>
        <v/>
      </c>
      <c r="H58" s="712"/>
      <c r="I58" s="712"/>
    </row>
    <row r="59" spans="2:9" ht="33" customHeight="1">
      <c r="B59" s="686" t="str">
        <f>Batch!B87</f>
        <v/>
      </c>
      <c r="C59" s="725" t="str">
        <f>Batch!E87</f>
        <v/>
      </c>
      <c r="D59" s="725" t="str">
        <f>Batch!F87</f>
        <v/>
      </c>
      <c r="E59" s="725" t="str">
        <f>Batch!G87</f>
        <v/>
      </c>
      <c r="F59" s="741" t="str">
        <f>Batch!H87</f>
        <v/>
      </c>
      <c r="G59" s="742" t="str">
        <f>Batch!I87</f>
        <v/>
      </c>
      <c r="H59" s="712"/>
      <c r="I59" s="712"/>
    </row>
    <row r="60" spans="2:9" ht="33" customHeight="1">
      <c r="B60" s="686" t="str">
        <f>Batch!B88</f>
        <v/>
      </c>
      <c r="C60" s="725" t="str">
        <f>Batch!E88</f>
        <v/>
      </c>
      <c r="D60" s="725" t="str">
        <f>Batch!F88</f>
        <v/>
      </c>
      <c r="E60" s="725" t="str">
        <f>Batch!G88</f>
        <v/>
      </c>
      <c r="F60" s="741" t="str">
        <f>Batch!H88</f>
        <v/>
      </c>
      <c r="G60" s="742" t="str">
        <f>Batch!I88</f>
        <v/>
      </c>
      <c r="H60" s="712"/>
      <c r="I60" s="712"/>
    </row>
    <row r="61" spans="2:9" ht="33" customHeight="1">
      <c r="B61" s="686" t="str">
        <f>Batch!B89</f>
        <v/>
      </c>
      <c r="C61" s="725" t="str">
        <f>Batch!E89</f>
        <v/>
      </c>
      <c r="D61" s="725" t="str">
        <f>Batch!F89</f>
        <v/>
      </c>
      <c r="E61" s="725" t="str">
        <f>Batch!G89</f>
        <v/>
      </c>
      <c r="F61" s="741" t="str">
        <f>Batch!H89</f>
        <v/>
      </c>
      <c r="G61" s="742" t="str">
        <f>Batch!I89</f>
        <v/>
      </c>
      <c r="H61" s="712"/>
      <c r="I61" s="712"/>
    </row>
    <row r="62" spans="2:9" ht="33" customHeight="1" thickBot="1">
      <c r="B62" s="688" t="str">
        <f>Batch!B90</f>
        <v/>
      </c>
      <c r="C62" s="727" t="str">
        <f>Batch!E90</f>
        <v/>
      </c>
      <c r="D62" s="727" t="str">
        <f>Batch!F90</f>
        <v/>
      </c>
      <c r="E62" s="727" t="str">
        <f>Batch!G90</f>
        <v/>
      </c>
      <c r="F62" s="743" t="str">
        <f>Batch!H90</f>
        <v/>
      </c>
      <c r="G62" s="744" t="str">
        <f>Batch!I90</f>
        <v/>
      </c>
    </row>
    <row r="63" spans="2:9" ht="33" hidden="1" customHeight="1"/>
    <row r="64" spans="2:9" ht="33" hidden="1" customHeight="1"/>
    <row r="65" ht="33" hidden="1" customHeight="1"/>
    <row r="66" ht="33" hidden="1" customHeight="1"/>
    <row r="67" ht="33" hidden="1" customHeight="1"/>
    <row r="68" ht="33" hidden="1" customHeight="1"/>
    <row r="69" ht="33" hidden="1" customHeight="1"/>
    <row r="70" ht="33" hidden="1" customHeight="1"/>
    <row r="71" ht="33" hidden="1" customHeight="1"/>
    <row r="72" ht="33" hidden="1" customHeight="1"/>
    <row r="73" ht="33" hidden="1" customHeight="1"/>
    <row r="74" ht="33" hidden="1" customHeight="1"/>
    <row r="75" hidden="1"/>
    <row r="76" hidden="1"/>
    <row r="77" hidden="1"/>
    <row r="78" hidden="1"/>
    <row r="79" hidden="1"/>
    <row r="80" hidden="1"/>
  </sheetData>
  <sheetProtection sheet="1" objects="1" scenarios="1"/>
  <mergeCells count="34">
    <mergeCell ref="B40:C40"/>
    <mergeCell ref="B41:C41"/>
    <mergeCell ref="B42:C42"/>
    <mergeCell ref="B35:C35"/>
    <mergeCell ref="B36:C36"/>
    <mergeCell ref="B37:C37"/>
    <mergeCell ref="B38:C38"/>
    <mergeCell ref="B39:C39"/>
    <mergeCell ref="B30:C30"/>
    <mergeCell ref="B31:C31"/>
    <mergeCell ref="B32:C32"/>
    <mergeCell ref="B33:C33"/>
    <mergeCell ref="B34:C34"/>
    <mergeCell ref="B25:C25"/>
    <mergeCell ref="B26:C26"/>
    <mergeCell ref="B27:C27"/>
    <mergeCell ref="B28:C28"/>
    <mergeCell ref="B29:C29"/>
    <mergeCell ref="B50:C50"/>
    <mergeCell ref="G52:G53"/>
    <mergeCell ref="B1:I2"/>
    <mergeCell ref="B11:C11"/>
    <mergeCell ref="B10:C10"/>
    <mergeCell ref="A9:D9"/>
    <mergeCell ref="E9:I9"/>
    <mergeCell ref="E10:I16"/>
    <mergeCell ref="B12:C12"/>
    <mergeCell ref="B13:C13"/>
    <mergeCell ref="B14:C14"/>
    <mergeCell ref="B15:C15"/>
    <mergeCell ref="B16:C16"/>
    <mergeCell ref="B22:C22"/>
    <mergeCell ref="B23:C23"/>
    <mergeCell ref="B24:C24"/>
  </mergeCells>
  <conditionalFormatting sqref="I22:I27">
    <cfRule type="cellIs" dxfId="62" priority="4" operator="equal">
      <formula>0</formula>
    </cfRule>
  </conditionalFormatting>
  <conditionalFormatting sqref="G25:G27">
    <cfRule type="cellIs" dxfId="61" priority="3" operator="equal">
      <formula>0</formula>
    </cfRule>
  </conditionalFormatting>
  <conditionalFormatting sqref="G29:G40">
    <cfRule type="cellIs" dxfId="60" priority="2" operator="equal">
      <formula>0</formula>
    </cfRule>
  </conditionalFormatting>
  <pageMargins left="0.7" right="0.7" top="0.75" bottom="0.75" header="0.3" footer="0.3"/>
  <pageSetup paperSize="9" scale="4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0EC43-E787-ED40-889B-3761EB2F3270}">
  <sheetPr codeName="Feuil4">
    <pageSetUpPr fitToPage="1"/>
  </sheetPr>
  <dimension ref="A1:L78"/>
  <sheetViews>
    <sheetView zoomScale="126" zoomScaleNormal="126" workbookViewId="0">
      <selection activeCell="E14" sqref="E14"/>
    </sheetView>
  </sheetViews>
  <sheetFormatPr baseColWidth="10" defaultColWidth="0" defaultRowHeight="0" customHeight="1" zeroHeight="1"/>
  <cols>
    <col min="1" max="1" width="5.6640625" style="16" customWidth="1"/>
    <col min="2" max="2" width="1.1640625" style="2" customWidth="1"/>
    <col min="3" max="3" width="28" style="2" customWidth="1"/>
    <col min="4" max="4" width="1.1640625" style="2" customWidth="1"/>
    <col min="5" max="5" width="9.1640625" style="5" customWidth="1"/>
    <col min="6" max="6" width="1.6640625" style="5" customWidth="1"/>
    <col min="7" max="7" width="5.6640625" style="16" customWidth="1"/>
    <col min="8" max="8" width="1.1640625" style="2" customWidth="1"/>
    <col min="9" max="9" width="28" style="2" customWidth="1"/>
    <col min="10" max="10" width="1.1640625" style="2" customWidth="1"/>
    <col min="11" max="11" width="9.1640625" style="5" customWidth="1"/>
    <col min="12" max="12" width="1.6640625" style="106" customWidth="1"/>
    <col min="13" max="16384" width="10.83203125" style="2" hidden="1"/>
  </cols>
  <sheetData>
    <row r="1" spans="1:12" ht="8" customHeight="1">
      <c r="A1" s="1080" t="s">
        <v>175</v>
      </c>
      <c r="B1" s="17"/>
      <c r="C1" s="17"/>
      <c r="D1" s="17"/>
      <c r="E1" s="17"/>
      <c r="F1" s="17"/>
      <c r="G1" s="1080" t="s">
        <v>175</v>
      </c>
      <c r="H1" s="17"/>
      <c r="I1" s="17"/>
      <c r="J1" s="17"/>
      <c r="K1" s="17"/>
      <c r="L1" s="17"/>
    </row>
    <row r="2" spans="1:12" ht="18">
      <c r="A2" s="1081"/>
      <c r="B2" s="18"/>
      <c r="C2" s="1086" t="str">
        <f>UPPER(Batch!C2)</f>
        <v>VIRGIN TROPICAL SERENDIPITY</v>
      </c>
      <c r="D2" s="1086"/>
      <c r="E2" s="1086"/>
      <c r="F2" s="579"/>
      <c r="G2" s="1081"/>
      <c r="H2" s="18"/>
      <c r="I2" s="1075" t="str">
        <f>C2</f>
        <v>VIRGIN TROPICAL SERENDIPITY</v>
      </c>
      <c r="J2" s="1075"/>
      <c r="K2" s="1075"/>
      <c r="L2" s="436"/>
    </row>
    <row r="3" spans="1:12" ht="13" customHeight="1">
      <c r="A3" s="1081"/>
      <c r="B3" s="19"/>
      <c r="C3" s="1085" t="str">
        <f>ROUND(Batch!B4*100,1)&amp;"% // "&amp;ROUND(Batch!C4,0)&amp;" IBU // "&amp;ROUND(Batch!D4,0)&amp;" EBC "&amp;"// 33cl."</f>
        <v>2.9% // 55 IBU // 33 EBC // 33cl.</v>
      </c>
      <c r="D3" s="1085"/>
      <c r="E3" s="1085"/>
      <c r="F3" s="24"/>
      <c r="G3" s="1081"/>
      <c r="H3" s="19"/>
      <c r="I3" s="1076" t="str">
        <f>C3</f>
        <v>2.9% // 55 IBU // 33 EBC // 33cl.</v>
      </c>
      <c r="J3" s="1076"/>
      <c r="K3" s="1076"/>
      <c r="L3" s="20"/>
    </row>
    <row r="4" spans="1:12" ht="8" customHeight="1">
      <c r="A4" s="1081"/>
      <c r="B4" s="14"/>
      <c r="C4" s="15"/>
      <c r="D4" s="15"/>
      <c r="E4" s="15"/>
      <c r="F4" s="15"/>
      <c r="G4" s="1081"/>
      <c r="H4" s="14"/>
      <c r="I4" s="15"/>
      <c r="J4" s="15"/>
      <c r="K4" s="15"/>
      <c r="L4" s="15"/>
    </row>
    <row r="5" spans="1:12" ht="2" customHeight="1">
      <c r="A5" s="1081"/>
      <c r="B5" s="13"/>
      <c r="C5" s="5"/>
      <c r="D5" s="5"/>
      <c r="G5" s="1081"/>
      <c r="H5" s="13"/>
      <c r="I5" s="5"/>
      <c r="J5" s="5"/>
      <c r="L5" s="5"/>
    </row>
    <row r="6" spans="1:12" ht="39" customHeight="1">
      <c r="A6" s="1081"/>
      <c r="B6" s="13"/>
      <c r="C6" s="1084" t="str">
        <f>Batch!F2</f>
        <v>Bière Session avec du malt T50. Houbloné aux houblons Néo Zélandais: Motueka, Nelson Sauvin et Citra. Levure LA-01</v>
      </c>
      <c r="D6" s="1084"/>
      <c r="E6" s="1084"/>
      <c r="F6" s="25"/>
      <c r="G6" s="1081"/>
      <c r="H6" s="13"/>
      <c r="I6" s="1077" t="str">
        <f>C6</f>
        <v>Bière Session avec du malt T50. Houbloné aux houblons Néo Zélandais: Motueka, Nelson Sauvin et Citra. Levure LA-01</v>
      </c>
      <c r="J6" s="1077"/>
      <c r="K6" s="1077"/>
      <c r="L6" s="21"/>
    </row>
    <row r="7" spans="1:12" ht="2" customHeight="1">
      <c r="A7" s="1081"/>
      <c r="B7" s="14"/>
      <c r="C7" s="15"/>
      <c r="D7" s="15"/>
      <c r="E7" s="15"/>
      <c r="F7" s="15"/>
      <c r="G7" s="1081"/>
      <c r="H7" s="14"/>
      <c r="I7" s="15"/>
      <c r="J7" s="15"/>
      <c r="K7" s="15"/>
      <c r="L7" s="15"/>
    </row>
    <row r="8" spans="1:12" ht="8" customHeight="1">
      <c r="A8" s="1081"/>
      <c r="B8" s="13"/>
      <c r="C8" s="5"/>
      <c r="D8" s="5"/>
      <c r="G8" s="1081"/>
      <c r="H8" s="13"/>
      <c r="I8" s="5"/>
      <c r="J8" s="5"/>
      <c r="L8" s="5"/>
    </row>
    <row r="9" spans="1:12" ht="16">
      <c r="A9" s="1081"/>
      <c r="B9" s="13"/>
      <c r="C9" s="1083" t="str">
        <f>"Brassée le: "&amp;DAY(Batch!C7)&amp;"/"&amp;MONTH(Batch!C7)&amp;" — Embouteillée le: "&amp;DAY(Batch!J7)&amp;"/"&amp;MONTH(Batch!J7)</f>
        <v>Brassée le: 24/5 — Embouteillée le: 6/6</v>
      </c>
      <c r="D9" s="1083"/>
      <c r="E9" s="1083"/>
      <c r="F9" s="318"/>
      <c r="G9" s="1081"/>
      <c r="H9" s="13"/>
      <c r="I9" s="1078" t="str">
        <f>C9</f>
        <v>Brassée le: 24/5 — Embouteillée le: 6/6</v>
      </c>
      <c r="J9" s="1078"/>
      <c r="K9" s="1078"/>
      <c r="L9" s="319"/>
    </row>
    <row r="10" spans="1:12" ht="8" customHeight="1">
      <c r="A10" s="1081"/>
      <c r="B10" s="14"/>
      <c r="C10" s="15"/>
      <c r="D10" s="15"/>
      <c r="E10" s="15"/>
      <c r="F10" s="15"/>
      <c r="G10" s="1081"/>
      <c r="H10" s="14"/>
      <c r="I10" s="15"/>
      <c r="J10" s="15"/>
      <c r="K10" s="15"/>
      <c r="L10" s="15"/>
    </row>
    <row r="11" spans="1:12" ht="8" customHeight="1">
      <c r="A11" s="1081"/>
      <c r="B11" s="13"/>
      <c r="C11" s="5"/>
      <c r="D11" s="5"/>
      <c r="G11" s="1081"/>
      <c r="H11" s="13"/>
      <c r="I11" s="5"/>
      <c r="J11" s="5"/>
      <c r="L11" s="5"/>
    </row>
    <row r="12" spans="1:12" ht="9" customHeight="1">
      <c r="A12" s="1081"/>
      <c r="B12" s="5"/>
      <c r="C12" s="1079" t="s">
        <v>176</v>
      </c>
      <c r="D12" s="1079"/>
      <c r="E12" s="1079"/>
      <c r="F12" s="22"/>
      <c r="G12" s="1081"/>
      <c r="H12" s="5"/>
      <c r="I12" s="1079" t="s">
        <v>176</v>
      </c>
      <c r="J12" s="1079"/>
      <c r="K12" s="1079"/>
      <c r="L12" s="22"/>
    </row>
    <row r="13" spans="1:12" ht="8" customHeight="1">
      <c r="A13" s="1082"/>
      <c r="B13" s="23"/>
      <c r="C13" s="23"/>
      <c r="D13" s="23"/>
      <c r="E13" s="23"/>
      <c r="F13" s="23"/>
      <c r="G13" s="1082"/>
      <c r="H13" s="23"/>
      <c r="I13" s="23"/>
      <c r="J13" s="23"/>
      <c r="K13" s="23"/>
      <c r="L13" s="23"/>
    </row>
    <row r="14" spans="1:12" ht="8" customHeight="1">
      <c r="A14" s="1080" t="s">
        <v>175</v>
      </c>
      <c r="B14" s="17"/>
      <c r="C14" s="17"/>
      <c r="D14" s="17"/>
      <c r="E14" s="17"/>
      <c r="F14" s="17"/>
      <c r="G14" s="1080" t="s">
        <v>175</v>
      </c>
      <c r="H14" s="17"/>
      <c r="I14" s="17"/>
      <c r="J14" s="17"/>
      <c r="K14" s="17"/>
      <c r="L14" s="17"/>
    </row>
    <row r="15" spans="1:12" ht="18">
      <c r="A15" s="1081"/>
      <c r="B15" s="18"/>
      <c r="C15" s="1075" t="str">
        <f>C2</f>
        <v>VIRGIN TROPICAL SERENDIPITY</v>
      </c>
      <c r="D15" s="1075"/>
      <c r="E15" s="1075"/>
      <c r="F15" s="436"/>
      <c r="G15" s="1081"/>
      <c r="H15" s="18"/>
      <c r="I15" s="1075" t="str">
        <f>I2</f>
        <v>VIRGIN TROPICAL SERENDIPITY</v>
      </c>
      <c r="J15" s="1075"/>
      <c r="K15" s="1075"/>
      <c r="L15" s="436"/>
    </row>
    <row r="16" spans="1:12" ht="13" customHeight="1">
      <c r="A16" s="1081"/>
      <c r="B16" s="19"/>
      <c r="C16" s="1076" t="str">
        <f>C3</f>
        <v>2.9% // 55 IBU // 33 EBC // 33cl.</v>
      </c>
      <c r="D16" s="1076"/>
      <c r="E16" s="1076"/>
      <c r="F16" s="20"/>
      <c r="G16" s="1081"/>
      <c r="H16" s="19"/>
      <c r="I16" s="1076" t="str">
        <f>I3</f>
        <v>2.9% // 55 IBU // 33 EBC // 33cl.</v>
      </c>
      <c r="J16" s="1076"/>
      <c r="K16" s="1076"/>
      <c r="L16" s="20"/>
    </row>
    <row r="17" spans="1:12" ht="8" customHeight="1">
      <c r="A17" s="1081"/>
      <c r="B17" s="14"/>
      <c r="C17" s="15"/>
      <c r="D17" s="15"/>
      <c r="E17" s="15"/>
      <c r="F17" s="15"/>
      <c r="G17" s="1081"/>
      <c r="H17" s="14"/>
      <c r="I17" s="15"/>
      <c r="J17" s="15"/>
      <c r="K17" s="15"/>
      <c r="L17" s="15"/>
    </row>
    <row r="18" spans="1:12" ht="2" customHeight="1">
      <c r="A18" s="1081"/>
      <c r="B18" s="13"/>
      <c r="C18" s="5"/>
      <c r="D18" s="5"/>
      <c r="G18" s="1081"/>
      <c r="H18" s="13"/>
      <c r="I18" s="5"/>
      <c r="J18" s="5"/>
      <c r="L18" s="5"/>
    </row>
    <row r="19" spans="1:12" ht="39" customHeight="1">
      <c r="A19" s="1081"/>
      <c r="B19" s="13"/>
      <c r="C19" s="1077" t="str">
        <f>C6</f>
        <v>Bière Session avec du malt T50. Houbloné aux houblons Néo Zélandais: Motueka, Nelson Sauvin et Citra. Levure LA-01</v>
      </c>
      <c r="D19" s="1077"/>
      <c r="E19" s="1077"/>
      <c r="F19" s="21"/>
      <c r="G19" s="1081"/>
      <c r="H19" s="13"/>
      <c r="I19" s="1077" t="str">
        <f>I6</f>
        <v>Bière Session avec du malt T50. Houbloné aux houblons Néo Zélandais: Motueka, Nelson Sauvin et Citra. Levure LA-01</v>
      </c>
      <c r="J19" s="1077"/>
      <c r="K19" s="1077"/>
      <c r="L19" s="21"/>
    </row>
    <row r="20" spans="1:12" ht="2" customHeight="1">
      <c r="A20" s="1081"/>
      <c r="B20" s="14"/>
      <c r="C20" s="15"/>
      <c r="D20" s="15"/>
      <c r="E20" s="15"/>
      <c r="F20" s="15"/>
      <c r="G20" s="1081"/>
      <c r="H20" s="14"/>
      <c r="I20" s="15"/>
      <c r="J20" s="15"/>
      <c r="K20" s="15"/>
      <c r="L20" s="15"/>
    </row>
    <row r="21" spans="1:12" ht="8" customHeight="1">
      <c r="A21" s="1081"/>
      <c r="B21" s="13"/>
      <c r="C21" s="5"/>
      <c r="D21" s="5"/>
      <c r="G21" s="1081"/>
      <c r="H21" s="13"/>
      <c r="I21" s="5"/>
      <c r="J21" s="5"/>
      <c r="L21" s="5"/>
    </row>
    <row r="22" spans="1:12" ht="16">
      <c r="A22" s="1081"/>
      <c r="B22" s="13"/>
      <c r="C22" s="1078" t="str">
        <f>C9</f>
        <v>Brassée le: 24/5 — Embouteillée le: 6/6</v>
      </c>
      <c r="D22" s="1078"/>
      <c r="E22" s="1078"/>
      <c r="F22" s="319"/>
      <c r="G22" s="1081"/>
      <c r="H22" s="13"/>
      <c r="I22" s="1078" t="str">
        <f>I9</f>
        <v>Brassée le: 24/5 — Embouteillée le: 6/6</v>
      </c>
      <c r="J22" s="1078"/>
      <c r="K22" s="1078"/>
      <c r="L22" s="319"/>
    </row>
    <row r="23" spans="1:12" ht="8" customHeight="1">
      <c r="A23" s="1081"/>
      <c r="B23" s="14"/>
      <c r="C23" s="15"/>
      <c r="D23" s="15"/>
      <c r="E23" s="15"/>
      <c r="F23" s="15"/>
      <c r="G23" s="1081"/>
      <c r="H23" s="14"/>
      <c r="I23" s="15"/>
      <c r="J23" s="15"/>
      <c r="K23" s="15"/>
      <c r="L23" s="15"/>
    </row>
    <row r="24" spans="1:12" ht="8" customHeight="1">
      <c r="A24" s="1081"/>
      <c r="B24" s="13"/>
      <c r="C24" s="5"/>
      <c r="D24" s="5"/>
      <c r="G24" s="1081"/>
      <c r="H24" s="13"/>
      <c r="I24" s="5"/>
      <c r="J24" s="5"/>
      <c r="L24" s="5"/>
    </row>
    <row r="25" spans="1:12" ht="9" customHeight="1">
      <c r="A25" s="1081"/>
      <c r="B25" s="5"/>
      <c r="C25" s="1079" t="s">
        <v>176</v>
      </c>
      <c r="D25" s="1079"/>
      <c r="E25" s="1079"/>
      <c r="F25" s="22"/>
      <c r="G25" s="1081"/>
      <c r="H25" s="5"/>
      <c r="I25" s="1079" t="s">
        <v>176</v>
      </c>
      <c r="J25" s="1079"/>
      <c r="K25" s="1079"/>
      <c r="L25" s="22"/>
    </row>
    <row r="26" spans="1:12" ht="8" customHeight="1">
      <c r="A26" s="1082"/>
      <c r="B26" s="23"/>
      <c r="C26" s="23"/>
      <c r="D26" s="23"/>
      <c r="E26" s="23"/>
      <c r="F26" s="23"/>
      <c r="G26" s="1082"/>
      <c r="H26" s="23"/>
      <c r="I26" s="23"/>
      <c r="J26" s="23"/>
      <c r="K26" s="23"/>
      <c r="L26" s="23"/>
    </row>
    <row r="27" spans="1:12" ht="8" customHeight="1">
      <c r="A27" s="1080" t="s">
        <v>175</v>
      </c>
      <c r="B27" s="17"/>
      <c r="C27" s="17"/>
      <c r="D27" s="17"/>
      <c r="E27" s="17"/>
      <c r="F27" s="17"/>
      <c r="G27" s="1080" t="s">
        <v>175</v>
      </c>
      <c r="H27" s="17"/>
      <c r="I27" s="17"/>
      <c r="J27" s="17"/>
      <c r="K27" s="17"/>
      <c r="L27" s="17"/>
    </row>
    <row r="28" spans="1:12" ht="18">
      <c r="A28" s="1081"/>
      <c r="B28" s="18"/>
      <c r="C28" s="1075" t="str">
        <f>C15</f>
        <v>VIRGIN TROPICAL SERENDIPITY</v>
      </c>
      <c r="D28" s="1075"/>
      <c r="E28" s="1075"/>
      <c r="F28" s="436"/>
      <c r="G28" s="1081"/>
      <c r="H28" s="18"/>
      <c r="I28" s="1075" t="str">
        <f>I15</f>
        <v>VIRGIN TROPICAL SERENDIPITY</v>
      </c>
      <c r="J28" s="1075"/>
      <c r="K28" s="1075"/>
      <c r="L28" s="436"/>
    </row>
    <row r="29" spans="1:12" ht="13" customHeight="1">
      <c r="A29" s="1081"/>
      <c r="B29" s="19"/>
      <c r="C29" s="1076" t="str">
        <f>C16</f>
        <v>2.9% // 55 IBU // 33 EBC // 33cl.</v>
      </c>
      <c r="D29" s="1076"/>
      <c r="E29" s="1076"/>
      <c r="F29" s="20"/>
      <c r="G29" s="1081"/>
      <c r="H29" s="19"/>
      <c r="I29" s="1076" t="str">
        <f>I16</f>
        <v>2.9% // 55 IBU // 33 EBC // 33cl.</v>
      </c>
      <c r="J29" s="1076"/>
      <c r="K29" s="1076"/>
      <c r="L29" s="20"/>
    </row>
    <row r="30" spans="1:12" ht="8" customHeight="1">
      <c r="A30" s="1081"/>
      <c r="B30" s="14"/>
      <c r="C30" s="15"/>
      <c r="D30" s="15"/>
      <c r="E30" s="15"/>
      <c r="F30" s="15"/>
      <c r="G30" s="1081"/>
      <c r="H30" s="14"/>
      <c r="I30" s="15"/>
      <c r="J30" s="15"/>
      <c r="K30" s="15"/>
      <c r="L30" s="15"/>
    </row>
    <row r="31" spans="1:12" ht="2" customHeight="1">
      <c r="A31" s="1081"/>
      <c r="B31" s="13"/>
      <c r="C31" s="5"/>
      <c r="D31" s="5"/>
      <c r="G31" s="1081"/>
      <c r="H31" s="13"/>
      <c r="I31" s="5"/>
      <c r="J31" s="5"/>
      <c r="L31" s="5"/>
    </row>
    <row r="32" spans="1:12" ht="39" customHeight="1">
      <c r="A32" s="1081"/>
      <c r="B32" s="13"/>
      <c r="C32" s="1077" t="str">
        <f>C19</f>
        <v>Bière Session avec du malt T50. Houbloné aux houblons Néo Zélandais: Motueka, Nelson Sauvin et Citra. Levure LA-01</v>
      </c>
      <c r="D32" s="1077"/>
      <c r="E32" s="1077"/>
      <c r="F32" s="21"/>
      <c r="G32" s="1081"/>
      <c r="H32" s="13"/>
      <c r="I32" s="1077" t="str">
        <f>I19</f>
        <v>Bière Session avec du malt T50. Houbloné aux houblons Néo Zélandais: Motueka, Nelson Sauvin et Citra. Levure LA-01</v>
      </c>
      <c r="J32" s="1077"/>
      <c r="K32" s="1077"/>
      <c r="L32" s="21"/>
    </row>
    <row r="33" spans="1:12" ht="2" customHeight="1">
      <c r="A33" s="1081"/>
      <c r="B33" s="14"/>
      <c r="C33" s="15"/>
      <c r="D33" s="15"/>
      <c r="E33" s="15"/>
      <c r="F33" s="15"/>
      <c r="G33" s="1081"/>
      <c r="H33" s="14"/>
      <c r="I33" s="15"/>
      <c r="J33" s="15"/>
      <c r="K33" s="15"/>
      <c r="L33" s="15"/>
    </row>
    <row r="34" spans="1:12" ht="8" customHeight="1">
      <c r="A34" s="1081"/>
      <c r="B34" s="13"/>
      <c r="C34" s="5"/>
      <c r="D34" s="5"/>
      <c r="G34" s="1081"/>
      <c r="H34" s="13"/>
      <c r="I34" s="5"/>
      <c r="J34" s="5"/>
      <c r="L34" s="5"/>
    </row>
    <row r="35" spans="1:12" ht="16">
      <c r="A35" s="1081"/>
      <c r="B35" s="13"/>
      <c r="C35" s="1078" t="str">
        <f>C22</f>
        <v>Brassée le: 24/5 — Embouteillée le: 6/6</v>
      </c>
      <c r="D35" s="1078"/>
      <c r="E35" s="1078"/>
      <c r="F35" s="319"/>
      <c r="G35" s="1081"/>
      <c r="H35" s="13"/>
      <c r="I35" s="1078" t="str">
        <f>I22</f>
        <v>Brassée le: 24/5 — Embouteillée le: 6/6</v>
      </c>
      <c r="J35" s="1078"/>
      <c r="K35" s="1078"/>
      <c r="L35" s="319"/>
    </row>
    <row r="36" spans="1:12" ht="8" customHeight="1">
      <c r="A36" s="1081"/>
      <c r="B36" s="14"/>
      <c r="C36" s="15"/>
      <c r="D36" s="15"/>
      <c r="E36" s="15"/>
      <c r="F36" s="15"/>
      <c r="G36" s="1081"/>
      <c r="H36" s="14"/>
      <c r="I36" s="15"/>
      <c r="J36" s="15"/>
      <c r="K36" s="15"/>
      <c r="L36" s="15"/>
    </row>
    <row r="37" spans="1:12" ht="8" customHeight="1">
      <c r="A37" s="1081"/>
      <c r="B37" s="13"/>
      <c r="C37" s="5"/>
      <c r="D37" s="5"/>
      <c r="G37" s="1081"/>
      <c r="H37" s="13"/>
      <c r="I37" s="5"/>
      <c r="J37" s="5"/>
      <c r="L37" s="5"/>
    </row>
    <row r="38" spans="1:12" ht="9" customHeight="1">
      <c r="A38" s="1081"/>
      <c r="B38" s="5"/>
      <c r="C38" s="1079" t="s">
        <v>176</v>
      </c>
      <c r="D38" s="1079"/>
      <c r="E38" s="1079"/>
      <c r="F38" s="22"/>
      <c r="G38" s="1081"/>
      <c r="H38" s="5"/>
      <c r="I38" s="1079" t="s">
        <v>176</v>
      </c>
      <c r="J38" s="1079"/>
      <c r="K38" s="1079"/>
      <c r="L38" s="22"/>
    </row>
    <row r="39" spans="1:12" ht="8" customHeight="1">
      <c r="A39" s="1082"/>
      <c r="B39" s="23"/>
      <c r="C39" s="23"/>
      <c r="D39" s="23"/>
      <c r="E39" s="23"/>
      <c r="F39" s="23"/>
      <c r="G39" s="1082"/>
      <c r="H39" s="23"/>
      <c r="I39" s="23"/>
      <c r="J39" s="23"/>
      <c r="K39" s="23"/>
      <c r="L39" s="23"/>
    </row>
    <row r="40" spans="1:12" ht="8" customHeight="1">
      <c r="A40" s="1080" t="s">
        <v>175</v>
      </c>
      <c r="B40" s="17"/>
      <c r="C40" s="17"/>
      <c r="D40" s="17"/>
      <c r="E40" s="17"/>
      <c r="F40" s="17"/>
      <c r="G40" s="1080" t="s">
        <v>175</v>
      </c>
      <c r="H40" s="17"/>
      <c r="I40" s="17"/>
      <c r="J40" s="17"/>
      <c r="K40" s="17"/>
      <c r="L40" s="17"/>
    </row>
    <row r="41" spans="1:12" ht="18">
      <c r="A41" s="1081"/>
      <c r="B41" s="18"/>
      <c r="C41" s="1075" t="str">
        <f>C28</f>
        <v>VIRGIN TROPICAL SERENDIPITY</v>
      </c>
      <c r="D41" s="1075"/>
      <c r="E41" s="1075"/>
      <c r="F41" s="436"/>
      <c r="G41" s="1081"/>
      <c r="H41" s="18"/>
      <c r="I41" s="1075" t="str">
        <f>I28</f>
        <v>VIRGIN TROPICAL SERENDIPITY</v>
      </c>
      <c r="J41" s="1075"/>
      <c r="K41" s="1075"/>
      <c r="L41" s="436"/>
    </row>
    <row r="42" spans="1:12" ht="13" customHeight="1">
      <c r="A42" s="1081"/>
      <c r="B42" s="19"/>
      <c r="C42" s="1076" t="str">
        <f>C29</f>
        <v>2.9% // 55 IBU // 33 EBC // 33cl.</v>
      </c>
      <c r="D42" s="1076"/>
      <c r="E42" s="1076"/>
      <c r="F42" s="20"/>
      <c r="G42" s="1081"/>
      <c r="H42" s="19"/>
      <c r="I42" s="1076" t="str">
        <f>I29</f>
        <v>2.9% // 55 IBU // 33 EBC // 33cl.</v>
      </c>
      <c r="J42" s="1076"/>
      <c r="K42" s="1076"/>
      <c r="L42" s="20"/>
    </row>
    <row r="43" spans="1:12" ht="8" customHeight="1">
      <c r="A43" s="1081"/>
      <c r="B43" s="14"/>
      <c r="C43" s="15"/>
      <c r="D43" s="15"/>
      <c r="E43" s="15"/>
      <c r="F43" s="15"/>
      <c r="G43" s="1081"/>
      <c r="H43" s="14"/>
      <c r="I43" s="15"/>
      <c r="J43" s="15"/>
      <c r="K43" s="15"/>
      <c r="L43" s="15"/>
    </row>
    <row r="44" spans="1:12" ht="2" customHeight="1">
      <c r="A44" s="1081"/>
      <c r="B44" s="13"/>
      <c r="C44" s="5"/>
      <c r="D44" s="5"/>
      <c r="G44" s="1081"/>
      <c r="H44" s="13"/>
      <c r="I44" s="5"/>
      <c r="J44" s="5"/>
      <c r="L44" s="5"/>
    </row>
    <row r="45" spans="1:12" ht="39" customHeight="1">
      <c r="A45" s="1081"/>
      <c r="B45" s="13"/>
      <c r="C45" s="1077" t="str">
        <f>C32</f>
        <v>Bière Session avec du malt T50. Houbloné aux houblons Néo Zélandais: Motueka, Nelson Sauvin et Citra. Levure LA-01</v>
      </c>
      <c r="D45" s="1077"/>
      <c r="E45" s="1077"/>
      <c r="F45" s="21"/>
      <c r="G45" s="1081"/>
      <c r="H45" s="13"/>
      <c r="I45" s="1077" t="str">
        <f>I32</f>
        <v>Bière Session avec du malt T50. Houbloné aux houblons Néo Zélandais: Motueka, Nelson Sauvin et Citra. Levure LA-01</v>
      </c>
      <c r="J45" s="1077"/>
      <c r="K45" s="1077"/>
      <c r="L45" s="21"/>
    </row>
    <row r="46" spans="1:12" ht="2" customHeight="1">
      <c r="A46" s="1081"/>
      <c r="B46" s="14"/>
      <c r="C46" s="15"/>
      <c r="D46" s="15"/>
      <c r="E46" s="15"/>
      <c r="F46" s="15"/>
      <c r="G46" s="1081"/>
      <c r="H46" s="14"/>
      <c r="I46" s="15"/>
      <c r="J46" s="15"/>
      <c r="K46" s="15"/>
      <c r="L46" s="15"/>
    </row>
    <row r="47" spans="1:12" ht="8" customHeight="1">
      <c r="A47" s="1081"/>
      <c r="B47" s="13"/>
      <c r="C47" s="5"/>
      <c r="D47" s="5"/>
      <c r="G47" s="1081"/>
      <c r="H47" s="13"/>
      <c r="I47" s="5"/>
      <c r="J47" s="5"/>
      <c r="L47" s="5"/>
    </row>
    <row r="48" spans="1:12" ht="16">
      <c r="A48" s="1081"/>
      <c r="B48" s="13"/>
      <c r="C48" s="1078" t="str">
        <f>C35</f>
        <v>Brassée le: 24/5 — Embouteillée le: 6/6</v>
      </c>
      <c r="D48" s="1078"/>
      <c r="E48" s="1078"/>
      <c r="F48" s="319"/>
      <c r="G48" s="1081"/>
      <c r="H48" s="13"/>
      <c r="I48" s="1078" t="str">
        <f>I35</f>
        <v>Brassée le: 24/5 — Embouteillée le: 6/6</v>
      </c>
      <c r="J48" s="1078"/>
      <c r="K48" s="1078"/>
      <c r="L48" s="319"/>
    </row>
    <row r="49" spans="1:12" ht="8" customHeight="1">
      <c r="A49" s="1081"/>
      <c r="B49" s="14"/>
      <c r="C49" s="15"/>
      <c r="D49" s="15"/>
      <c r="E49" s="15"/>
      <c r="F49" s="15"/>
      <c r="G49" s="1081"/>
      <c r="H49" s="14"/>
      <c r="I49" s="15"/>
      <c r="J49" s="15"/>
      <c r="K49" s="15"/>
      <c r="L49" s="15"/>
    </row>
    <row r="50" spans="1:12" ht="8" customHeight="1">
      <c r="A50" s="1081"/>
      <c r="B50" s="13"/>
      <c r="C50" s="5"/>
      <c r="D50" s="5"/>
      <c r="G50" s="1081"/>
      <c r="H50" s="13"/>
      <c r="I50" s="5"/>
      <c r="J50" s="5"/>
      <c r="L50" s="5"/>
    </row>
    <row r="51" spans="1:12" ht="9" customHeight="1">
      <c r="A51" s="1081"/>
      <c r="B51" s="5"/>
      <c r="C51" s="1079" t="s">
        <v>176</v>
      </c>
      <c r="D51" s="1079"/>
      <c r="E51" s="1079"/>
      <c r="F51" s="22"/>
      <c r="G51" s="1081"/>
      <c r="H51" s="5"/>
      <c r="I51" s="1079" t="s">
        <v>176</v>
      </c>
      <c r="J51" s="1079"/>
      <c r="K51" s="1079"/>
      <c r="L51" s="22"/>
    </row>
    <row r="52" spans="1:12" ht="8" customHeight="1">
      <c r="A52" s="1082"/>
      <c r="B52" s="23"/>
      <c r="C52" s="23"/>
      <c r="D52" s="23"/>
      <c r="E52" s="23"/>
      <c r="F52" s="23"/>
      <c r="G52" s="1082"/>
      <c r="H52" s="23"/>
      <c r="I52" s="23"/>
      <c r="J52" s="23"/>
      <c r="K52" s="23"/>
      <c r="L52" s="23"/>
    </row>
    <row r="53" spans="1:12" ht="8" customHeight="1">
      <c r="A53" s="1080" t="s">
        <v>175</v>
      </c>
      <c r="B53" s="17"/>
      <c r="C53" s="17"/>
      <c r="D53" s="17"/>
      <c r="E53" s="17"/>
      <c r="F53" s="17"/>
      <c r="G53" s="1080" t="s">
        <v>175</v>
      </c>
      <c r="H53" s="17"/>
      <c r="I53" s="17"/>
      <c r="J53" s="17"/>
      <c r="K53" s="17"/>
      <c r="L53" s="17"/>
    </row>
    <row r="54" spans="1:12" ht="16" customHeight="1">
      <c r="A54" s="1081"/>
      <c r="B54" s="18"/>
      <c r="C54" s="1075" t="str">
        <f>C41</f>
        <v>VIRGIN TROPICAL SERENDIPITY</v>
      </c>
      <c r="D54" s="1075"/>
      <c r="E54" s="1075"/>
      <c r="F54" s="436"/>
      <c r="G54" s="1081"/>
      <c r="H54" s="18"/>
      <c r="I54" s="1075" t="str">
        <f>I41</f>
        <v>VIRGIN TROPICAL SERENDIPITY</v>
      </c>
      <c r="J54" s="1075"/>
      <c r="K54" s="1075"/>
      <c r="L54" s="436"/>
    </row>
    <row r="55" spans="1:12" ht="13" customHeight="1">
      <c r="A55" s="1081"/>
      <c r="B55" s="19"/>
      <c r="C55" s="1076" t="str">
        <f>C42</f>
        <v>2.9% // 55 IBU // 33 EBC // 33cl.</v>
      </c>
      <c r="D55" s="1076"/>
      <c r="E55" s="1076"/>
      <c r="F55" s="20"/>
      <c r="G55" s="1081"/>
      <c r="H55" s="19"/>
      <c r="I55" s="1076" t="str">
        <f>I42</f>
        <v>2.9% // 55 IBU // 33 EBC // 33cl.</v>
      </c>
      <c r="J55" s="1076"/>
      <c r="K55" s="1076"/>
      <c r="L55" s="20"/>
    </row>
    <row r="56" spans="1:12" ht="8" customHeight="1">
      <c r="A56" s="1081"/>
      <c r="B56" s="14"/>
      <c r="C56" s="15"/>
      <c r="D56" s="15"/>
      <c r="E56" s="15"/>
      <c r="F56" s="15"/>
      <c r="G56" s="1081"/>
      <c r="H56" s="14"/>
      <c r="I56" s="15"/>
      <c r="J56" s="15"/>
      <c r="K56" s="15"/>
      <c r="L56" s="15"/>
    </row>
    <row r="57" spans="1:12" ht="2" customHeight="1">
      <c r="A57" s="1081"/>
      <c r="B57" s="13"/>
      <c r="C57" s="5"/>
      <c r="D57" s="5"/>
      <c r="G57" s="1081"/>
      <c r="H57" s="13"/>
      <c r="I57" s="5"/>
      <c r="J57" s="5"/>
      <c r="L57" s="5"/>
    </row>
    <row r="58" spans="1:12" ht="39" customHeight="1">
      <c r="A58" s="1081"/>
      <c r="B58" s="13"/>
      <c r="C58" s="1077" t="str">
        <f>C45</f>
        <v>Bière Session avec du malt T50. Houbloné aux houblons Néo Zélandais: Motueka, Nelson Sauvin et Citra. Levure LA-01</v>
      </c>
      <c r="D58" s="1077"/>
      <c r="E58" s="1077"/>
      <c r="F58" s="21"/>
      <c r="G58" s="1081"/>
      <c r="H58" s="13"/>
      <c r="I58" s="1077" t="str">
        <f>I45</f>
        <v>Bière Session avec du malt T50. Houbloné aux houblons Néo Zélandais: Motueka, Nelson Sauvin et Citra. Levure LA-01</v>
      </c>
      <c r="J58" s="1077"/>
      <c r="K58" s="1077"/>
      <c r="L58" s="21"/>
    </row>
    <row r="59" spans="1:12" ht="2" customHeight="1">
      <c r="A59" s="1081"/>
      <c r="B59" s="14"/>
      <c r="C59" s="15"/>
      <c r="D59" s="15"/>
      <c r="E59" s="15"/>
      <c r="F59" s="15"/>
      <c r="G59" s="1081"/>
      <c r="H59" s="14"/>
      <c r="I59" s="15"/>
      <c r="J59" s="15"/>
      <c r="K59" s="15"/>
      <c r="L59" s="15"/>
    </row>
    <row r="60" spans="1:12" ht="8" customHeight="1">
      <c r="A60" s="1081"/>
      <c r="B60" s="13"/>
      <c r="C60" s="5"/>
      <c r="D60" s="5"/>
      <c r="G60" s="1081"/>
      <c r="H60" s="13"/>
      <c r="I60" s="5"/>
      <c r="J60" s="5"/>
      <c r="L60" s="5"/>
    </row>
    <row r="61" spans="1:12" ht="16" customHeight="1">
      <c r="A61" s="1081"/>
      <c r="B61" s="13"/>
      <c r="C61" s="1078" t="str">
        <f>C48</f>
        <v>Brassée le: 24/5 — Embouteillée le: 6/6</v>
      </c>
      <c r="D61" s="1078"/>
      <c r="E61" s="1078"/>
      <c r="F61" s="319"/>
      <c r="G61" s="1081"/>
      <c r="H61" s="13"/>
      <c r="I61" s="1078" t="str">
        <f>I48</f>
        <v>Brassée le: 24/5 — Embouteillée le: 6/6</v>
      </c>
      <c r="J61" s="1078"/>
      <c r="K61" s="1078"/>
      <c r="L61" s="319"/>
    </row>
    <row r="62" spans="1:12" ht="8" customHeight="1">
      <c r="A62" s="1081"/>
      <c r="B62" s="14"/>
      <c r="C62" s="15"/>
      <c r="D62" s="15"/>
      <c r="E62" s="15"/>
      <c r="F62" s="15"/>
      <c r="G62" s="1081"/>
      <c r="H62" s="14"/>
      <c r="I62" s="15"/>
      <c r="J62" s="15"/>
      <c r="K62" s="15"/>
      <c r="L62" s="15"/>
    </row>
    <row r="63" spans="1:12" ht="8" customHeight="1">
      <c r="A63" s="1081"/>
      <c r="B63" s="13"/>
      <c r="C63" s="5"/>
      <c r="D63" s="5"/>
      <c r="G63" s="1081"/>
      <c r="H63" s="13"/>
      <c r="I63" s="5"/>
      <c r="J63" s="5"/>
      <c r="L63" s="5"/>
    </row>
    <row r="64" spans="1:12" ht="9" customHeight="1">
      <c r="A64" s="1081"/>
      <c r="B64" s="5"/>
      <c r="C64" s="1079" t="s">
        <v>176</v>
      </c>
      <c r="D64" s="1079"/>
      <c r="E64" s="1079"/>
      <c r="F64" s="22"/>
      <c r="G64" s="1081"/>
      <c r="H64" s="5"/>
      <c r="I64" s="1079" t="s">
        <v>176</v>
      </c>
      <c r="J64" s="1079"/>
      <c r="K64" s="1079"/>
      <c r="L64" s="22"/>
    </row>
    <row r="65" spans="1:12" ht="8" customHeight="1">
      <c r="A65" s="1082"/>
      <c r="B65" s="23"/>
      <c r="C65" s="23"/>
      <c r="D65" s="23"/>
      <c r="E65" s="589"/>
      <c r="F65" s="23"/>
      <c r="G65" s="1082"/>
      <c r="H65" s="23"/>
      <c r="I65" s="23"/>
      <c r="J65" s="23"/>
      <c r="K65" s="23"/>
      <c r="L65" s="23"/>
    </row>
    <row r="66" spans="1:12" ht="8" customHeight="1">
      <c r="A66" s="1080" t="s">
        <v>175</v>
      </c>
      <c r="B66" s="17"/>
      <c r="C66" s="17"/>
      <c r="D66" s="17"/>
      <c r="E66" s="17"/>
      <c r="F66" s="17"/>
      <c r="G66" s="1080" t="s">
        <v>175</v>
      </c>
      <c r="H66" s="17"/>
      <c r="I66" s="17"/>
      <c r="J66" s="17"/>
      <c r="K66" s="17"/>
      <c r="L66" s="17"/>
    </row>
    <row r="67" spans="1:12" ht="16" customHeight="1">
      <c r="A67" s="1081"/>
      <c r="B67" s="18"/>
      <c r="C67" s="1075" t="str">
        <f>C54</f>
        <v>VIRGIN TROPICAL SERENDIPITY</v>
      </c>
      <c r="D67" s="1075"/>
      <c r="E67" s="1075"/>
      <c r="F67" s="436"/>
      <c r="G67" s="1081"/>
      <c r="H67" s="18"/>
      <c r="I67" s="1075" t="str">
        <f>I54</f>
        <v>VIRGIN TROPICAL SERENDIPITY</v>
      </c>
      <c r="J67" s="1075"/>
      <c r="K67" s="1075"/>
      <c r="L67" s="436"/>
    </row>
    <row r="68" spans="1:12" ht="13" customHeight="1">
      <c r="A68" s="1081"/>
      <c r="B68" s="19"/>
      <c r="C68" s="1076" t="str">
        <f>C55</f>
        <v>2.9% // 55 IBU // 33 EBC // 33cl.</v>
      </c>
      <c r="D68" s="1076"/>
      <c r="E68" s="1076"/>
      <c r="F68" s="20"/>
      <c r="G68" s="1081"/>
      <c r="H68" s="19"/>
      <c r="I68" s="1076" t="str">
        <f>I55</f>
        <v>2.9% // 55 IBU // 33 EBC // 33cl.</v>
      </c>
      <c r="J68" s="1076"/>
      <c r="K68" s="1076"/>
      <c r="L68" s="20"/>
    </row>
    <row r="69" spans="1:12" ht="8" customHeight="1">
      <c r="A69" s="1081"/>
      <c r="B69" s="14"/>
      <c r="C69" s="15"/>
      <c r="D69" s="15"/>
      <c r="E69" s="15"/>
      <c r="F69" s="15"/>
      <c r="G69" s="1081"/>
      <c r="H69" s="14"/>
      <c r="I69" s="15"/>
      <c r="J69" s="15"/>
      <c r="K69" s="15"/>
      <c r="L69" s="15"/>
    </row>
    <row r="70" spans="1:12" ht="2" customHeight="1">
      <c r="A70" s="1081"/>
      <c r="B70" s="13"/>
      <c r="C70" s="5"/>
      <c r="D70" s="5"/>
      <c r="G70" s="1081"/>
      <c r="H70" s="13"/>
      <c r="I70" s="5"/>
      <c r="J70" s="5"/>
      <c r="L70" s="5"/>
    </row>
    <row r="71" spans="1:12" ht="39" customHeight="1">
      <c r="A71" s="1081"/>
      <c r="B71" s="13"/>
      <c r="C71" s="1077" t="str">
        <f>C58</f>
        <v>Bière Session avec du malt T50. Houbloné aux houblons Néo Zélandais: Motueka, Nelson Sauvin et Citra. Levure LA-01</v>
      </c>
      <c r="D71" s="1077"/>
      <c r="E71" s="1077"/>
      <c r="F71" s="21"/>
      <c r="G71" s="1081"/>
      <c r="H71" s="13"/>
      <c r="I71" s="1077" t="str">
        <f>I58</f>
        <v>Bière Session avec du malt T50. Houbloné aux houblons Néo Zélandais: Motueka, Nelson Sauvin et Citra. Levure LA-01</v>
      </c>
      <c r="J71" s="1077"/>
      <c r="K71" s="1077"/>
      <c r="L71" s="21"/>
    </row>
    <row r="72" spans="1:12" ht="2" customHeight="1">
      <c r="A72" s="1081"/>
      <c r="B72" s="14"/>
      <c r="C72" s="15"/>
      <c r="D72" s="15"/>
      <c r="E72" s="15"/>
      <c r="F72" s="15"/>
      <c r="G72" s="1081"/>
      <c r="H72" s="14"/>
      <c r="I72" s="15"/>
      <c r="J72" s="15"/>
      <c r="K72" s="15"/>
      <c r="L72" s="15"/>
    </row>
    <row r="73" spans="1:12" ht="8" customHeight="1">
      <c r="A73" s="1081"/>
      <c r="B73" s="13"/>
      <c r="C73" s="5"/>
      <c r="D73" s="5"/>
      <c r="G73" s="1081"/>
      <c r="H73" s="13"/>
      <c r="I73" s="5"/>
      <c r="J73" s="5"/>
      <c r="L73" s="5"/>
    </row>
    <row r="74" spans="1:12" ht="16" customHeight="1">
      <c r="A74" s="1081"/>
      <c r="B74" s="13"/>
      <c r="C74" s="1078" t="str">
        <f>C61</f>
        <v>Brassée le: 24/5 — Embouteillée le: 6/6</v>
      </c>
      <c r="D74" s="1078"/>
      <c r="E74" s="1078"/>
      <c r="F74" s="319"/>
      <c r="G74" s="1081"/>
      <c r="H74" s="13"/>
      <c r="I74" s="1078" t="str">
        <f>I61</f>
        <v>Brassée le: 24/5 — Embouteillée le: 6/6</v>
      </c>
      <c r="J74" s="1078"/>
      <c r="K74" s="1078"/>
      <c r="L74" s="319"/>
    </row>
    <row r="75" spans="1:12" ht="8" customHeight="1">
      <c r="A75" s="1081"/>
      <c r="B75" s="14"/>
      <c r="C75" s="15"/>
      <c r="D75" s="15"/>
      <c r="E75" s="15"/>
      <c r="F75" s="15"/>
      <c r="G75" s="1081"/>
      <c r="H75" s="14"/>
      <c r="I75" s="15"/>
      <c r="J75" s="15"/>
      <c r="K75" s="15"/>
      <c r="L75" s="15"/>
    </row>
    <row r="76" spans="1:12" ht="8" customHeight="1">
      <c r="A76" s="1081"/>
      <c r="B76" s="13"/>
      <c r="C76" s="5"/>
      <c r="D76" s="5"/>
      <c r="G76" s="1081"/>
      <c r="H76" s="13"/>
      <c r="I76" s="5"/>
      <c r="J76" s="5"/>
      <c r="L76" s="5"/>
    </row>
    <row r="77" spans="1:12" ht="9" customHeight="1">
      <c r="A77" s="1081"/>
      <c r="B77" s="5"/>
      <c r="C77" s="1079" t="s">
        <v>176</v>
      </c>
      <c r="D77" s="1079"/>
      <c r="E77" s="1079"/>
      <c r="F77" s="22"/>
      <c r="G77" s="1081"/>
      <c r="H77" s="5"/>
      <c r="I77" s="1079" t="s">
        <v>176</v>
      </c>
      <c r="J77" s="1079"/>
      <c r="K77" s="1079"/>
      <c r="L77" s="22"/>
    </row>
    <row r="78" spans="1:12" ht="8" customHeight="1">
      <c r="A78" s="1082"/>
      <c r="B78" s="23"/>
      <c r="C78" s="23"/>
      <c r="D78" s="23"/>
      <c r="E78" s="23"/>
      <c r="F78" s="23"/>
      <c r="G78" s="1082"/>
      <c r="H78" s="23"/>
      <c r="I78" s="23"/>
      <c r="J78" s="23"/>
      <c r="K78" s="23"/>
      <c r="L78" s="23"/>
    </row>
  </sheetData>
  <sheetProtection sheet="1" objects="1" scenarios="1"/>
  <mergeCells count="72">
    <mergeCell ref="A1:A13"/>
    <mergeCell ref="G1:G13"/>
    <mergeCell ref="A14:A26"/>
    <mergeCell ref="G14:G26"/>
    <mergeCell ref="A27:A39"/>
    <mergeCell ref="G27:G39"/>
    <mergeCell ref="C12:E12"/>
    <mergeCell ref="C9:E9"/>
    <mergeCell ref="C6:E6"/>
    <mergeCell ref="C3:E3"/>
    <mergeCell ref="C2:E2"/>
    <mergeCell ref="C25:E25"/>
    <mergeCell ref="C22:E22"/>
    <mergeCell ref="C19:E19"/>
    <mergeCell ref="C16:E16"/>
    <mergeCell ref="C15:E15"/>
    <mergeCell ref="A40:A52"/>
    <mergeCell ref="G40:G52"/>
    <mergeCell ref="A53:A65"/>
    <mergeCell ref="G53:G65"/>
    <mergeCell ref="A66:A78"/>
    <mergeCell ref="G66:G78"/>
    <mergeCell ref="C41:E41"/>
    <mergeCell ref="C42:E42"/>
    <mergeCell ref="C45:E45"/>
    <mergeCell ref="C48:E48"/>
    <mergeCell ref="C51:E51"/>
    <mergeCell ref="C54:E54"/>
    <mergeCell ref="C55:E55"/>
    <mergeCell ref="C58:E58"/>
    <mergeCell ref="C61:E61"/>
    <mergeCell ref="C64:E64"/>
    <mergeCell ref="C28:E28"/>
    <mergeCell ref="C29:E29"/>
    <mergeCell ref="C32:E32"/>
    <mergeCell ref="C35:E35"/>
    <mergeCell ref="C38:E38"/>
    <mergeCell ref="I2:K2"/>
    <mergeCell ref="I3:K3"/>
    <mergeCell ref="I6:K6"/>
    <mergeCell ref="I9:K9"/>
    <mergeCell ref="I12:K12"/>
    <mergeCell ref="I15:K15"/>
    <mergeCell ref="I16:K16"/>
    <mergeCell ref="I19:K19"/>
    <mergeCell ref="I22:K22"/>
    <mergeCell ref="I25:K25"/>
    <mergeCell ref="C67:E67"/>
    <mergeCell ref="C68:E68"/>
    <mergeCell ref="C71:E71"/>
    <mergeCell ref="C74:E74"/>
    <mergeCell ref="C77:E77"/>
    <mergeCell ref="I67:K67"/>
    <mergeCell ref="I68:K68"/>
    <mergeCell ref="I71:K71"/>
    <mergeCell ref="I74:K74"/>
    <mergeCell ref="I77:K77"/>
    <mergeCell ref="I54:K54"/>
    <mergeCell ref="I55:K55"/>
    <mergeCell ref="I58:K58"/>
    <mergeCell ref="I61:K61"/>
    <mergeCell ref="I64:K64"/>
    <mergeCell ref="I41:K41"/>
    <mergeCell ref="I42:K42"/>
    <mergeCell ref="I45:K45"/>
    <mergeCell ref="I48:K48"/>
    <mergeCell ref="I51:K51"/>
    <mergeCell ref="I28:K28"/>
    <mergeCell ref="I29:K29"/>
    <mergeCell ref="I32:K32"/>
    <mergeCell ref="I35:K35"/>
    <mergeCell ref="I38:K38"/>
  </mergeCells>
  <pageMargins left="0.196850393700787" right="0.196850393700787" top="0.196850393700787" bottom="0.196850393700787" header="0.3" footer="0.3"/>
  <pageSetup paperSize="9" orientation="portrait" horizontalDpi="0" verticalDpi="0" copies="3"/>
  <extLst>
    <ext xmlns:x14="http://schemas.microsoft.com/office/spreadsheetml/2009/9/main" uri="{78C0D931-6437-407d-A8EE-F0AAD7539E65}">
      <x14:conditionalFormattings>
        <x14:conditionalFormatting xmlns:xm="http://schemas.microsoft.com/office/excel/2006/main">
          <x14:cfRule type="expression" priority="8" id="{E0934C62-4D9F-4247-A16C-B2DD157554D1}">
            <xm:f>Batch!$E$4="Virgin"</xm:f>
            <x14:dxf>
              <font>
                <color theme="0"/>
              </font>
              <fill>
                <patternFill>
                  <bgColor rgb="FF23177F"/>
                </patternFill>
              </fill>
            </x14:dxf>
          </x14:cfRule>
          <x14:cfRule type="expression" priority="9" id="{2B66E7B4-A94A-944D-A241-7FA06E712CD3}">
            <xm:f>Batch!$E$4="Ambrée"</xm:f>
            <x14:dxf>
              <font>
                <color theme="0"/>
              </font>
              <fill>
                <patternFill>
                  <bgColor rgb="FFC00000"/>
                </patternFill>
              </fill>
            </x14:dxf>
          </x14:cfRule>
          <xm:sqref>A1:A78 G1:G78</xm:sqref>
        </x14:conditionalFormatting>
        <x14:conditionalFormatting xmlns:xm="http://schemas.microsoft.com/office/excel/2006/main">
          <x14:cfRule type="expression" priority="1" id="{E330591B-E347-A24D-8A3C-43FED660943A}">
            <xm:f>Batch!$E$4="Fruitée"</xm:f>
            <x14:dxf>
              <fill>
                <patternFill>
                  <bgColor rgb="FFDC6228"/>
                </patternFill>
              </fill>
            </x14:dxf>
          </x14:cfRule>
          <x14:cfRule type="expression" priority="2" id="{30D2C605-F063-874A-8D86-DDE63AB02F20}">
            <xm:f>Batch!$E$4="Blonde"</xm:f>
            <x14:dxf>
              <fill>
                <patternFill>
                  <bgColor rgb="FFFFCA00"/>
                </patternFill>
              </fill>
            </x14:dxf>
          </x14:cfRule>
          <x14:cfRule type="expression" priority="3" id="{6A058338-06DA-AC40-8260-FAFE9CB3BD87}">
            <xm:f>Batch!$E$4="IPA"</xm:f>
            <x14:dxf>
              <font>
                <color theme="0"/>
              </font>
              <fill>
                <patternFill>
                  <bgColor rgb="FF375623"/>
                </patternFill>
              </fill>
            </x14:dxf>
          </x14:cfRule>
          <x14:cfRule type="expression" priority="4" id="{CDFE29D2-F1DD-F547-9536-5C8D1813B8FD}">
            <xm:f>Batch!$E$4="Milkshake"</xm:f>
            <x14:dxf>
              <fill>
                <patternFill>
                  <bgColor rgb="FF68B2FF"/>
                </patternFill>
              </fill>
            </x14:dxf>
          </x14:cfRule>
          <x14:cfRule type="expression" priority="5" id="{A1A22A57-CFCE-2B43-AA7C-BB4C3D617AF7}">
            <xm:f>Batch!$E$4="Session"</xm:f>
            <x14:dxf>
              <fill>
                <patternFill>
                  <bgColor rgb="FFA6A6A6"/>
                </patternFill>
              </fill>
            </x14:dxf>
          </x14:cfRule>
          <x14:cfRule type="expression" priority="6" id="{281464C3-E0B0-A343-BC5A-1C6B4660B632}">
            <xm:f>Batch!$E$4="Stout Porter"</xm:f>
            <x14:dxf>
              <font>
                <color theme="0"/>
              </font>
              <fill>
                <patternFill>
                  <bgColor theme="1"/>
                </patternFill>
              </fill>
            </x14:dxf>
          </x14:cfRule>
          <xm:sqref>A1:A1048576 G1:G78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650C7-49CA-9E43-80BE-B3E2730ADB12}">
  <sheetPr codeName="Feuil7"/>
  <dimension ref="B2:Q37"/>
  <sheetViews>
    <sheetView workbookViewId="0">
      <selection activeCell="S17" sqref="S17"/>
    </sheetView>
  </sheetViews>
  <sheetFormatPr baseColWidth="10" defaultColWidth="10.83203125" defaultRowHeight="16"/>
  <cols>
    <col min="1" max="1" width="10.83203125" style="106" customWidth="1"/>
    <col min="2" max="2" width="11.1640625" style="106" bestFit="1" customWidth="1"/>
    <col min="3" max="3" width="11.5" style="6" customWidth="1"/>
    <col min="4" max="4" width="19.33203125" style="661" customWidth="1"/>
    <col min="5" max="7" width="26" style="106" customWidth="1"/>
    <col min="8" max="16384" width="10.83203125" style="106"/>
  </cols>
  <sheetData>
    <row r="2" spans="2:17" ht="29">
      <c r="B2" s="591" t="str">
        <f>Etiquettes!C2</f>
        <v>VIRGIN TROPICAL SERENDIPITY</v>
      </c>
    </row>
    <row r="3" spans="2:17" ht="21">
      <c r="B3" s="590" t="str">
        <f>Etiquettes!C3</f>
        <v>2.9% // 55 IBU // 33 EBC // 33cl.</v>
      </c>
    </row>
    <row r="4" spans="2:17" ht="17" thickBot="1"/>
    <row r="5" spans="2:17" ht="17" thickBot="1">
      <c r="B5" s="1111" t="s">
        <v>364</v>
      </c>
      <c r="C5" s="1112"/>
      <c r="D5" s="1109">
        <f>Batch!C7</f>
        <v>43975</v>
      </c>
      <c r="E5" s="1110"/>
      <c r="F5" s="108" t="s">
        <v>365</v>
      </c>
      <c r="G5" s="109">
        <f>Batch!J7</f>
        <v>43988</v>
      </c>
    </row>
    <row r="6" spans="2:17" ht="17" thickBot="1"/>
    <row r="7" spans="2:17" ht="17" thickBot="1">
      <c r="B7" s="659" t="s">
        <v>37</v>
      </c>
      <c r="C7" s="660" t="s">
        <v>376</v>
      </c>
      <c r="D7" s="662"/>
      <c r="E7" s="1113" t="s">
        <v>366</v>
      </c>
      <c r="F7" s="1113"/>
      <c r="G7" s="1114"/>
      <c r="H7" s="658" t="s">
        <v>2925</v>
      </c>
      <c r="I7" s="1100"/>
      <c r="J7" s="1101"/>
      <c r="K7" s="1101"/>
      <c r="L7" s="1101"/>
      <c r="M7" s="1101"/>
      <c r="N7" s="1101"/>
      <c r="O7" s="1101"/>
      <c r="P7" s="1101"/>
      <c r="Q7" s="1102"/>
    </row>
    <row r="8" spans="2:17" ht="32" customHeight="1">
      <c r="B8" s="1087"/>
      <c r="C8" s="1090" t="str">
        <f>IF(B8="","",B8-G$5)</f>
        <v/>
      </c>
      <c r="D8" s="663" t="s">
        <v>2921</v>
      </c>
      <c r="E8" s="1097"/>
      <c r="F8" s="1097"/>
      <c r="G8" s="1098"/>
      <c r="I8" s="1103"/>
      <c r="J8" s="1104"/>
      <c r="K8" s="1104"/>
      <c r="L8" s="1104"/>
      <c r="M8" s="1104"/>
      <c r="N8" s="1104"/>
      <c r="O8" s="1104"/>
      <c r="P8" s="1104"/>
      <c r="Q8" s="1105"/>
    </row>
    <row r="9" spans="2:17" ht="32" customHeight="1" thickBot="1">
      <c r="B9" s="1088"/>
      <c r="C9" s="1091"/>
      <c r="D9" s="664" t="s">
        <v>2922</v>
      </c>
      <c r="E9" s="1093"/>
      <c r="F9" s="1093"/>
      <c r="G9" s="1094"/>
      <c r="I9" s="1106"/>
      <c r="J9" s="1107"/>
      <c r="K9" s="1107"/>
      <c r="L9" s="1107"/>
      <c r="M9" s="1107"/>
      <c r="N9" s="1107"/>
      <c r="O9" s="1107"/>
      <c r="P9" s="1107"/>
      <c r="Q9" s="1108"/>
    </row>
    <row r="10" spans="2:17" ht="32" customHeight="1">
      <c r="B10" s="1088"/>
      <c r="C10" s="1091"/>
      <c r="D10" s="664" t="s">
        <v>2923</v>
      </c>
      <c r="E10" s="1093"/>
      <c r="F10" s="1093"/>
      <c r="G10" s="1094"/>
      <c r="I10" s="1099"/>
      <c r="J10" s="1099"/>
      <c r="K10" s="1099"/>
      <c r="L10" s="1099"/>
      <c r="M10" s="1099"/>
      <c r="N10" s="1099"/>
      <c r="O10" s="1099"/>
      <c r="P10" s="1099"/>
      <c r="Q10" s="1099"/>
    </row>
    <row r="11" spans="2:17" ht="32" customHeight="1">
      <c r="B11" s="1088"/>
      <c r="C11" s="1091"/>
      <c r="D11" s="664" t="s">
        <v>2924</v>
      </c>
      <c r="E11" s="1093"/>
      <c r="F11" s="1093"/>
      <c r="G11" s="1094"/>
      <c r="I11" s="1099"/>
      <c r="J11" s="1099"/>
      <c r="K11" s="1099"/>
      <c r="L11" s="1099"/>
      <c r="M11" s="1099"/>
      <c r="N11" s="1099"/>
      <c r="O11" s="1099"/>
      <c r="P11" s="1099"/>
      <c r="Q11" s="1099"/>
    </row>
    <row r="12" spans="2:17" ht="32" customHeight="1" thickBot="1">
      <c r="B12" s="1089"/>
      <c r="C12" s="1092"/>
      <c r="D12" s="665" t="s">
        <v>2926</v>
      </c>
      <c r="E12" s="1095"/>
      <c r="F12" s="1095"/>
      <c r="G12" s="1096"/>
      <c r="I12" s="1099"/>
      <c r="J12" s="1099"/>
      <c r="K12" s="1099"/>
      <c r="L12" s="1099"/>
      <c r="M12" s="1099"/>
      <c r="N12" s="1099"/>
      <c r="O12" s="1099"/>
      <c r="P12" s="1099"/>
      <c r="Q12" s="1099"/>
    </row>
    <row r="13" spans="2:17" ht="32" customHeight="1">
      <c r="B13" s="1087"/>
      <c r="C13" s="1090" t="str">
        <f>IF(B13="","",B13-G$5)</f>
        <v/>
      </c>
      <c r="D13" s="663" t="s">
        <v>2921</v>
      </c>
      <c r="E13" s="1097"/>
      <c r="F13" s="1097"/>
      <c r="G13" s="1098"/>
    </row>
    <row r="14" spans="2:17" ht="32" customHeight="1">
      <c r="B14" s="1088"/>
      <c r="C14" s="1091"/>
      <c r="D14" s="664" t="s">
        <v>2922</v>
      </c>
      <c r="E14" s="1093"/>
      <c r="F14" s="1093"/>
      <c r="G14" s="1094"/>
    </row>
    <row r="15" spans="2:17" ht="32" customHeight="1">
      <c r="B15" s="1088"/>
      <c r="C15" s="1091"/>
      <c r="D15" s="664" t="s">
        <v>2923</v>
      </c>
      <c r="E15" s="1093"/>
      <c r="F15" s="1093"/>
      <c r="G15" s="1094"/>
    </row>
    <row r="16" spans="2:17" ht="32" customHeight="1">
      <c r="B16" s="1088"/>
      <c r="C16" s="1091"/>
      <c r="D16" s="664" t="s">
        <v>2924</v>
      </c>
      <c r="E16" s="1093"/>
      <c r="F16" s="1093"/>
      <c r="G16" s="1094"/>
    </row>
    <row r="17" spans="2:7" ht="32" customHeight="1" thickBot="1">
      <c r="B17" s="1089"/>
      <c r="C17" s="1092"/>
      <c r="D17" s="665" t="s">
        <v>2926</v>
      </c>
      <c r="E17" s="1095"/>
      <c r="F17" s="1095"/>
      <c r="G17" s="1096"/>
    </row>
    <row r="18" spans="2:7" ht="32" customHeight="1">
      <c r="B18" s="1087"/>
      <c r="C18" s="1090" t="str">
        <f>IF(B18="","",B18-G$5)</f>
        <v/>
      </c>
      <c r="D18" s="663" t="s">
        <v>2921</v>
      </c>
      <c r="E18" s="1097"/>
      <c r="F18" s="1097"/>
      <c r="G18" s="1098"/>
    </row>
    <row r="19" spans="2:7" ht="32" customHeight="1">
      <c r="B19" s="1088"/>
      <c r="C19" s="1091"/>
      <c r="D19" s="664" t="s">
        <v>2922</v>
      </c>
      <c r="E19" s="1093"/>
      <c r="F19" s="1093"/>
      <c r="G19" s="1094"/>
    </row>
    <row r="20" spans="2:7" ht="32" customHeight="1">
      <c r="B20" s="1088"/>
      <c r="C20" s="1091"/>
      <c r="D20" s="664" t="s">
        <v>2923</v>
      </c>
      <c r="E20" s="1093"/>
      <c r="F20" s="1093"/>
      <c r="G20" s="1094"/>
    </row>
    <row r="21" spans="2:7" ht="32" customHeight="1">
      <c r="B21" s="1088"/>
      <c r="C21" s="1091"/>
      <c r="D21" s="664" t="s">
        <v>2924</v>
      </c>
      <c r="E21" s="1093"/>
      <c r="F21" s="1093"/>
      <c r="G21" s="1094"/>
    </row>
    <row r="22" spans="2:7" ht="32" customHeight="1" thickBot="1">
      <c r="B22" s="1089"/>
      <c r="C22" s="1092"/>
      <c r="D22" s="665" t="s">
        <v>2926</v>
      </c>
      <c r="E22" s="1095"/>
      <c r="F22" s="1095"/>
      <c r="G22" s="1096"/>
    </row>
    <row r="23" spans="2:7" ht="32" customHeight="1">
      <c r="B23" s="1087"/>
      <c r="C23" s="1090" t="str">
        <f>IF(B23="","",B23-G$5)</f>
        <v/>
      </c>
      <c r="D23" s="663" t="s">
        <v>2921</v>
      </c>
      <c r="E23" s="1097"/>
      <c r="F23" s="1097"/>
      <c r="G23" s="1098"/>
    </row>
    <row r="24" spans="2:7" ht="32" customHeight="1">
      <c r="B24" s="1088"/>
      <c r="C24" s="1091"/>
      <c r="D24" s="664" t="s">
        <v>2922</v>
      </c>
      <c r="E24" s="1093"/>
      <c r="F24" s="1093"/>
      <c r="G24" s="1094"/>
    </row>
    <row r="25" spans="2:7" ht="32" customHeight="1">
      <c r="B25" s="1088"/>
      <c r="C25" s="1091"/>
      <c r="D25" s="664" t="s">
        <v>2923</v>
      </c>
      <c r="E25" s="1093"/>
      <c r="F25" s="1093"/>
      <c r="G25" s="1094"/>
    </row>
    <row r="26" spans="2:7" ht="32" customHeight="1">
      <c r="B26" s="1088"/>
      <c r="C26" s="1091"/>
      <c r="D26" s="664" t="s">
        <v>2924</v>
      </c>
      <c r="E26" s="1093"/>
      <c r="F26" s="1093"/>
      <c r="G26" s="1094"/>
    </row>
    <row r="27" spans="2:7" ht="32" customHeight="1" thickBot="1">
      <c r="B27" s="1089"/>
      <c r="C27" s="1092"/>
      <c r="D27" s="665" t="s">
        <v>2926</v>
      </c>
      <c r="E27" s="1095"/>
      <c r="F27" s="1095"/>
      <c r="G27" s="1096"/>
    </row>
    <row r="28" spans="2:7" ht="32" customHeight="1">
      <c r="B28" s="1087"/>
      <c r="C28" s="1090" t="str">
        <f>IF(B28="","",B28-G$5)</f>
        <v/>
      </c>
      <c r="D28" s="663" t="s">
        <v>2921</v>
      </c>
      <c r="E28" s="1097"/>
      <c r="F28" s="1097"/>
      <c r="G28" s="1098"/>
    </row>
    <row r="29" spans="2:7" ht="32" customHeight="1">
      <c r="B29" s="1088"/>
      <c r="C29" s="1091"/>
      <c r="D29" s="664" t="s">
        <v>2922</v>
      </c>
      <c r="E29" s="1093"/>
      <c r="F29" s="1093"/>
      <c r="G29" s="1094"/>
    </row>
    <row r="30" spans="2:7" ht="32" customHeight="1">
      <c r="B30" s="1088"/>
      <c r="C30" s="1091"/>
      <c r="D30" s="664" t="s">
        <v>2923</v>
      </c>
      <c r="E30" s="1093"/>
      <c r="F30" s="1093"/>
      <c r="G30" s="1094"/>
    </row>
    <row r="31" spans="2:7" ht="32" customHeight="1">
      <c r="B31" s="1088"/>
      <c r="C31" s="1091"/>
      <c r="D31" s="664" t="s">
        <v>2924</v>
      </c>
      <c r="E31" s="1093"/>
      <c r="F31" s="1093"/>
      <c r="G31" s="1094"/>
    </row>
    <row r="32" spans="2:7" ht="32" customHeight="1" thickBot="1">
      <c r="B32" s="1089"/>
      <c r="C32" s="1092"/>
      <c r="D32" s="665" t="s">
        <v>2926</v>
      </c>
      <c r="E32" s="1095"/>
      <c r="F32" s="1095"/>
      <c r="G32" s="1096"/>
    </row>
    <row r="33" spans="2:7" ht="32" customHeight="1">
      <c r="B33" s="1087"/>
      <c r="C33" s="1090" t="str">
        <f>IF(B33="","",B33-G$5)</f>
        <v/>
      </c>
      <c r="D33" s="663" t="s">
        <v>2921</v>
      </c>
      <c r="E33" s="1097"/>
      <c r="F33" s="1097"/>
      <c r="G33" s="1098"/>
    </row>
    <row r="34" spans="2:7" ht="32" customHeight="1">
      <c r="B34" s="1088"/>
      <c r="C34" s="1091"/>
      <c r="D34" s="664" t="s">
        <v>2922</v>
      </c>
      <c r="E34" s="1093"/>
      <c r="F34" s="1093"/>
      <c r="G34" s="1094"/>
    </row>
    <row r="35" spans="2:7" ht="32" customHeight="1">
      <c r="B35" s="1088"/>
      <c r="C35" s="1091"/>
      <c r="D35" s="664" t="s">
        <v>2923</v>
      </c>
      <c r="E35" s="1093"/>
      <c r="F35" s="1093"/>
      <c r="G35" s="1094"/>
    </row>
    <row r="36" spans="2:7" ht="32" customHeight="1">
      <c r="B36" s="1088"/>
      <c r="C36" s="1091"/>
      <c r="D36" s="664" t="s">
        <v>2924</v>
      </c>
      <c r="E36" s="1093"/>
      <c r="F36" s="1093"/>
      <c r="G36" s="1094"/>
    </row>
    <row r="37" spans="2:7" ht="32" customHeight="1" thickBot="1">
      <c r="B37" s="1089"/>
      <c r="C37" s="1092"/>
      <c r="D37" s="665" t="s">
        <v>2926</v>
      </c>
      <c r="E37" s="1095"/>
      <c r="F37" s="1095"/>
      <c r="G37" s="1096"/>
    </row>
  </sheetData>
  <sheetProtection sheet="1" objects="1" scenarios="1"/>
  <mergeCells count="49">
    <mergeCell ref="D5:E5"/>
    <mergeCell ref="B5:C5"/>
    <mergeCell ref="E7:G7"/>
    <mergeCell ref="E8:G8"/>
    <mergeCell ref="E9:G9"/>
    <mergeCell ref="C8:C12"/>
    <mergeCell ref="B8:B12"/>
    <mergeCell ref="I10:Q10"/>
    <mergeCell ref="I11:Q11"/>
    <mergeCell ref="I7:Q9"/>
    <mergeCell ref="E11:G11"/>
    <mergeCell ref="E15:G15"/>
    <mergeCell ref="E10:G10"/>
    <mergeCell ref="E12:G12"/>
    <mergeCell ref="E13:G13"/>
    <mergeCell ref="E14:G14"/>
    <mergeCell ref="I12:Q12"/>
    <mergeCell ref="E17:G17"/>
    <mergeCell ref="E18:G18"/>
    <mergeCell ref="E19:G19"/>
    <mergeCell ref="E20:G20"/>
    <mergeCell ref="E16:G16"/>
    <mergeCell ref="E21:G21"/>
    <mergeCell ref="E22:G22"/>
    <mergeCell ref="E23:G23"/>
    <mergeCell ref="E24:G24"/>
    <mergeCell ref="E25:G25"/>
    <mergeCell ref="E26:G26"/>
    <mergeCell ref="E27:G27"/>
    <mergeCell ref="E28:G28"/>
    <mergeCell ref="E29:G29"/>
    <mergeCell ref="E30:G30"/>
    <mergeCell ref="E36:G36"/>
    <mergeCell ref="E37:G37"/>
    <mergeCell ref="C33:C37"/>
    <mergeCell ref="B33:B37"/>
    <mergeCell ref="C28:C32"/>
    <mergeCell ref="B28:B32"/>
    <mergeCell ref="E31:G31"/>
    <mergeCell ref="E32:G32"/>
    <mergeCell ref="E33:G33"/>
    <mergeCell ref="E34:G34"/>
    <mergeCell ref="E35:G35"/>
    <mergeCell ref="B23:B27"/>
    <mergeCell ref="C23:C27"/>
    <mergeCell ref="C18:C22"/>
    <mergeCell ref="B18:B22"/>
    <mergeCell ref="B13:B17"/>
    <mergeCell ref="C13:C1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9C4F7-0636-C040-BEC1-D322FE169BB9}">
  <sheetPr codeName="Feuil8"/>
  <dimension ref="A1:Y74"/>
  <sheetViews>
    <sheetView workbookViewId="0">
      <selection activeCell="V24" sqref="V24"/>
    </sheetView>
  </sheetViews>
  <sheetFormatPr baseColWidth="10" defaultRowHeight="16"/>
  <cols>
    <col min="1" max="1" width="23.33203125" bestFit="1" customWidth="1"/>
  </cols>
  <sheetData>
    <row r="1" spans="1:25">
      <c r="A1" s="127"/>
      <c r="B1" s="127">
        <v>2</v>
      </c>
      <c r="C1" s="127">
        <v>3</v>
      </c>
      <c r="D1" s="127">
        <v>4</v>
      </c>
      <c r="E1" s="127">
        <v>5</v>
      </c>
      <c r="F1" s="127">
        <v>6</v>
      </c>
      <c r="G1" s="127">
        <v>7</v>
      </c>
      <c r="H1" s="127">
        <v>8</v>
      </c>
      <c r="I1" s="127">
        <v>9</v>
      </c>
      <c r="J1" s="127">
        <v>10</v>
      </c>
      <c r="K1" s="127">
        <v>11</v>
      </c>
      <c r="L1" s="127">
        <v>12</v>
      </c>
      <c r="M1" s="127">
        <v>13</v>
      </c>
      <c r="N1" s="127">
        <v>14</v>
      </c>
      <c r="O1" s="127">
        <v>15</v>
      </c>
      <c r="P1" s="127">
        <v>16</v>
      </c>
      <c r="Q1" s="127">
        <v>17</v>
      </c>
      <c r="R1" s="127">
        <v>18</v>
      </c>
      <c r="S1" s="127">
        <v>19</v>
      </c>
      <c r="T1" s="127">
        <v>20</v>
      </c>
      <c r="U1" s="127">
        <v>21</v>
      </c>
      <c r="V1" s="127">
        <v>22</v>
      </c>
      <c r="W1" s="127">
        <v>23</v>
      </c>
      <c r="X1" s="127">
        <v>24</v>
      </c>
      <c r="Y1" s="127">
        <v>25</v>
      </c>
    </row>
    <row r="2" spans="1:25">
      <c r="A2" s="128" t="s">
        <v>870</v>
      </c>
      <c r="B2" s="129" t="s">
        <v>3</v>
      </c>
      <c r="C2" s="130" t="s">
        <v>871</v>
      </c>
      <c r="D2" s="130" t="s">
        <v>872</v>
      </c>
      <c r="E2" s="131" t="s">
        <v>873</v>
      </c>
      <c r="F2" s="131" t="s">
        <v>874</v>
      </c>
      <c r="G2" s="131" t="s">
        <v>875</v>
      </c>
      <c r="H2" s="132" t="s">
        <v>876</v>
      </c>
      <c r="I2" s="132" t="s">
        <v>877</v>
      </c>
      <c r="J2" s="132" t="s">
        <v>878</v>
      </c>
      <c r="K2" s="132" t="s">
        <v>879</v>
      </c>
      <c r="L2" s="132" t="s">
        <v>880</v>
      </c>
      <c r="M2" s="132" t="s">
        <v>881</v>
      </c>
      <c r="N2" s="132" t="s">
        <v>882</v>
      </c>
      <c r="O2" s="132" t="s">
        <v>883</v>
      </c>
      <c r="P2" s="132" t="s">
        <v>884</v>
      </c>
      <c r="Q2" s="132" t="s">
        <v>885</v>
      </c>
      <c r="R2" s="132" t="s">
        <v>886</v>
      </c>
      <c r="S2" s="132" t="s">
        <v>887</v>
      </c>
      <c r="T2" s="132" t="s">
        <v>888</v>
      </c>
      <c r="U2" s="132" t="s">
        <v>889</v>
      </c>
      <c r="V2" s="132" t="s">
        <v>841</v>
      </c>
      <c r="W2" s="132" t="s">
        <v>890</v>
      </c>
      <c r="X2" s="133" t="s">
        <v>891</v>
      </c>
      <c r="Y2" s="133" t="s">
        <v>892</v>
      </c>
    </row>
    <row r="3" spans="1:25">
      <c r="A3" s="134" t="s">
        <v>893</v>
      </c>
      <c r="B3" s="135" t="s">
        <v>894</v>
      </c>
      <c r="C3" s="136">
        <v>4</v>
      </c>
      <c r="D3" s="136">
        <v>6</v>
      </c>
      <c r="E3" s="137" t="s">
        <v>895</v>
      </c>
      <c r="F3" s="137" t="s">
        <v>896</v>
      </c>
      <c r="G3" s="137" t="s">
        <v>897</v>
      </c>
      <c r="H3" s="138" t="s">
        <v>898</v>
      </c>
      <c r="I3" s="138" t="s">
        <v>899</v>
      </c>
      <c r="J3" s="138" t="s">
        <v>900</v>
      </c>
      <c r="K3" s="138" t="s">
        <v>901</v>
      </c>
      <c r="L3" s="138" t="s">
        <v>899</v>
      </c>
      <c r="M3" s="138" t="s">
        <v>902</v>
      </c>
      <c r="N3" s="138" t="s">
        <v>903</v>
      </c>
      <c r="O3" s="138" t="s">
        <v>899</v>
      </c>
      <c r="P3" s="138" t="s">
        <v>896</v>
      </c>
      <c r="Q3" s="138" t="s">
        <v>904</v>
      </c>
      <c r="R3" s="138" t="s">
        <v>896</v>
      </c>
      <c r="S3" s="138" t="s">
        <v>905</v>
      </c>
      <c r="T3" s="138" t="s">
        <v>906</v>
      </c>
      <c r="U3" s="138">
        <v>0</v>
      </c>
      <c r="V3" s="138">
        <v>100</v>
      </c>
      <c r="W3" s="138" t="s">
        <v>907</v>
      </c>
      <c r="X3" s="139">
        <v>-60</v>
      </c>
      <c r="Y3" s="139">
        <v>0</v>
      </c>
    </row>
    <row r="4" spans="1:25">
      <c r="A4" s="134" t="s">
        <v>908</v>
      </c>
      <c r="B4" s="135" t="s">
        <v>909</v>
      </c>
      <c r="C4" s="136">
        <v>4</v>
      </c>
      <c r="D4" s="136">
        <v>8</v>
      </c>
      <c r="E4" s="137" t="s">
        <v>895</v>
      </c>
      <c r="F4" s="137" t="s">
        <v>896</v>
      </c>
      <c r="G4" s="137" t="s">
        <v>897</v>
      </c>
      <c r="H4" s="138" t="s">
        <v>898</v>
      </c>
      <c r="I4" s="138" t="s">
        <v>899</v>
      </c>
      <c r="J4" s="138" t="s">
        <v>900</v>
      </c>
      <c r="K4" s="138" t="s">
        <v>901</v>
      </c>
      <c r="L4" s="138" t="s">
        <v>899</v>
      </c>
      <c r="M4" s="138" t="s">
        <v>902</v>
      </c>
      <c r="N4" s="138" t="s">
        <v>903</v>
      </c>
      <c r="O4" s="138" t="s">
        <v>899</v>
      </c>
      <c r="P4" s="138" t="s">
        <v>896</v>
      </c>
      <c r="Q4" s="138" t="s">
        <v>904</v>
      </c>
      <c r="R4" s="138" t="s">
        <v>896</v>
      </c>
      <c r="S4" s="138" t="s">
        <v>905</v>
      </c>
      <c r="T4" s="138" t="s">
        <v>906</v>
      </c>
      <c r="U4" s="138">
        <v>0</v>
      </c>
      <c r="V4" s="138">
        <v>100</v>
      </c>
      <c r="W4" s="138" t="s">
        <v>907</v>
      </c>
      <c r="X4" s="139">
        <v>-60</v>
      </c>
      <c r="Y4" s="139">
        <v>0</v>
      </c>
    </row>
    <row r="5" spans="1:25">
      <c r="A5" s="134" t="s">
        <v>910</v>
      </c>
      <c r="B5" s="135" t="s">
        <v>911</v>
      </c>
      <c r="C5" s="136">
        <v>4</v>
      </c>
      <c r="D5" s="136">
        <v>12</v>
      </c>
      <c r="E5" s="137" t="s">
        <v>912</v>
      </c>
      <c r="F5" s="137" t="s">
        <v>896</v>
      </c>
      <c r="G5" s="137" t="s">
        <v>913</v>
      </c>
      <c r="H5" s="138" t="s">
        <v>898</v>
      </c>
      <c r="I5" s="138" t="s">
        <v>899</v>
      </c>
      <c r="J5" s="138" t="s">
        <v>900</v>
      </c>
      <c r="K5" s="138" t="s">
        <v>901</v>
      </c>
      <c r="L5" s="138" t="s">
        <v>899</v>
      </c>
      <c r="M5" s="138" t="s">
        <v>902</v>
      </c>
      <c r="N5" s="138" t="s">
        <v>914</v>
      </c>
      <c r="O5" s="138" t="s">
        <v>896</v>
      </c>
      <c r="P5" s="138" t="s">
        <v>915</v>
      </c>
      <c r="Q5" s="138" t="s">
        <v>904</v>
      </c>
      <c r="R5" s="138" t="s">
        <v>896</v>
      </c>
      <c r="S5" s="138" t="s">
        <v>905</v>
      </c>
      <c r="T5" s="138" t="s">
        <v>906</v>
      </c>
      <c r="U5" s="138">
        <v>0</v>
      </c>
      <c r="V5" s="138">
        <v>100</v>
      </c>
      <c r="W5" s="138" t="s">
        <v>907</v>
      </c>
      <c r="X5" s="139">
        <v>-60</v>
      </c>
      <c r="Y5" s="139">
        <v>0</v>
      </c>
    </row>
    <row r="6" spans="1:25">
      <c r="A6" s="134" t="s">
        <v>916</v>
      </c>
      <c r="B6" s="135" t="s">
        <v>917</v>
      </c>
      <c r="C6" s="136">
        <v>6</v>
      </c>
      <c r="D6" s="136">
        <v>10</v>
      </c>
      <c r="E6" s="137" t="s">
        <v>895</v>
      </c>
      <c r="F6" s="137" t="s">
        <v>896</v>
      </c>
      <c r="G6" s="137" t="s">
        <v>897</v>
      </c>
      <c r="H6" s="138" t="s">
        <v>898</v>
      </c>
      <c r="I6" s="138" t="s">
        <v>899</v>
      </c>
      <c r="J6" s="138" t="s">
        <v>900</v>
      </c>
      <c r="K6" s="138" t="s">
        <v>901</v>
      </c>
      <c r="L6" s="138" t="s">
        <v>899</v>
      </c>
      <c r="M6" s="138" t="s">
        <v>902</v>
      </c>
      <c r="N6" s="138" t="s">
        <v>903</v>
      </c>
      <c r="O6" s="138" t="s">
        <v>899</v>
      </c>
      <c r="P6" s="138" t="s">
        <v>896</v>
      </c>
      <c r="Q6" s="138" t="s">
        <v>904</v>
      </c>
      <c r="R6" s="138" t="s">
        <v>896</v>
      </c>
      <c r="S6" s="138" t="s">
        <v>905</v>
      </c>
      <c r="T6" s="138" t="s">
        <v>906</v>
      </c>
      <c r="U6" s="138">
        <v>0</v>
      </c>
      <c r="V6" s="138">
        <v>100</v>
      </c>
      <c r="W6" s="138" t="s">
        <v>907</v>
      </c>
      <c r="X6" s="139">
        <v>-60</v>
      </c>
      <c r="Y6" s="139">
        <v>0</v>
      </c>
    </row>
    <row r="7" spans="1:25">
      <c r="A7" s="134" t="s">
        <v>918</v>
      </c>
      <c r="B7" s="135" t="s">
        <v>919</v>
      </c>
      <c r="C7" s="136">
        <v>8</v>
      </c>
      <c r="D7" s="136">
        <v>12</v>
      </c>
      <c r="E7" s="137" t="s">
        <v>920</v>
      </c>
      <c r="F7" s="137" t="s">
        <v>913</v>
      </c>
      <c r="G7" s="137" t="s">
        <v>915</v>
      </c>
      <c r="H7" s="138" t="s">
        <v>898</v>
      </c>
      <c r="I7" s="138" t="s">
        <v>899</v>
      </c>
      <c r="J7" s="138" t="s">
        <v>900</v>
      </c>
      <c r="K7" s="138" t="s">
        <v>921</v>
      </c>
      <c r="L7" s="138" t="s">
        <v>902</v>
      </c>
      <c r="M7" s="138" t="s">
        <v>922</v>
      </c>
      <c r="N7" s="138" t="s">
        <v>914</v>
      </c>
      <c r="O7" s="138" t="s">
        <v>896</v>
      </c>
      <c r="P7" s="138" t="s">
        <v>915</v>
      </c>
      <c r="Q7" s="138" t="s">
        <v>904</v>
      </c>
      <c r="R7" s="138" t="s">
        <v>896</v>
      </c>
      <c r="S7" s="138" t="s">
        <v>905</v>
      </c>
      <c r="T7" s="138" t="s">
        <v>906</v>
      </c>
      <c r="U7" s="138">
        <v>0</v>
      </c>
      <c r="V7" s="138">
        <v>100</v>
      </c>
      <c r="W7" s="138" t="s">
        <v>923</v>
      </c>
      <c r="X7" s="139">
        <v>-30</v>
      </c>
      <c r="Y7" s="139">
        <v>30</v>
      </c>
    </row>
    <row r="8" spans="1:25">
      <c r="A8" s="134" t="s">
        <v>924</v>
      </c>
      <c r="B8" s="135" t="s">
        <v>925</v>
      </c>
      <c r="C8" s="136">
        <v>4</v>
      </c>
      <c r="D8" s="136">
        <v>10</v>
      </c>
      <c r="E8" s="137" t="s">
        <v>912</v>
      </c>
      <c r="F8" s="137" t="s">
        <v>896</v>
      </c>
      <c r="G8" s="137" t="s">
        <v>913</v>
      </c>
      <c r="H8" s="138" t="s">
        <v>898</v>
      </c>
      <c r="I8" s="138" t="s">
        <v>899</v>
      </c>
      <c r="J8" s="138" t="s">
        <v>900</v>
      </c>
      <c r="K8" s="138" t="s">
        <v>901</v>
      </c>
      <c r="L8" s="138" t="s">
        <v>899</v>
      </c>
      <c r="M8" s="138" t="s">
        <v>902</v>
      </c>
      <c r="N8" s="138" t="s">
        <v>914</v>
      </c>
      <c r="O8" s="138" t="s">
        <v>896</v>
      </c>
      <c r="P8" s="138" t="s">
        <v>915</v>
      </c>
      <c r="Q8" s="138" t="s">
        <v>904</v>
      </c>
      <c r="R8" s="138" t="s">
        <v>896</v>
      </c>
      <c r="S8" s="138" t="s">
        <v>905</v>
      </c>
      <c r="T8" s="138" t="s">
        <v>906</v>
      </c>
      <c r="U8" s="138">
        <v>0</v>
      </c>
      <c r="V8" s="138">
        <v>100</v>
      </c>
      <c r="W8" s="138" t="s">
        <v>907</v>
      </c>
      <c r="X8" s="139">
        <v>-60</v>
      </c>
      <c r="Y8" s="139">
        <v>0</v>
      </c>
    </row>
    <row r="9" spans="1:25">
      <c r="A9" s="134" t="s">
        <v>926</v>
      </c>
      <c r="B9" s="135" t="s">
        <v>927</v>
      </c>
      <c r="C9" s="136">
        <v>7</v>
      </c>
      <c r="D9" s="136">
        <v>12</v>
      </c>
      <c r="E9" s="137" t="s">
        <v>895</v>
      </c>
      <c r="F9" s="137" t="s">
        <v>896</v>
      </c>
      <c r="G9" s="137" t="s">
        <v>897</v>
      </c>
      <c r="H9" s="138" t="s">
        <v>898</v>
      </c>
      <c r="I9" s="138" t="s">
        <v>899</v>
      </c>
      <c r="J9" s="138" t="s">
        <v>900</v>
      </c>
      <c r="K9" s="138" t="s">
        <v>901</v>
      </c>
      <c r="L9" s="138" t="s">
        <v>899</v>
      </c>
      <c r="M9" s="138" t="s">
        <v>902</v>
      </c>
      <c r="N9" s="138" t="s">
        <v>903</v>
      </c>
      <c r="O9" s="138" t="s">
        <v>899</v>
      </c>
      <c r="P9" s="138" t="s">
        <v>896</v>
      </c>
      <c r="Q9" s="138" t="s">
        <v>904</v>
      </c>
      <c r="R9" s="138" t="s">
        <v>896</v>
      </c>
      <c r="S9" s="138" t="s">
        <v>905</v>
      </c>
      <c r="T9" s="138" t="s">
        <v>906</v>
      </c>
      <c r="U9" s="138">
        <v>0</v>
      </c>
      <c r="V9" s="138">
        <v>100</v>
      </c>
      <c r="W9" s="138" t="s">
        <v>907</v>
      </c>
      <c r="X9" s="139">
        <v>-60</v>
      </c>
      <c r="Y9" s="139">
        <v>0</v>
      </c>
    </row>
    <row r="10" spans="1:25">
      <c r="A10" s="134" t="s">
        <v>928</v>
      </c>
      <c r="B10" s="135" t="s">
        <v>929</v>
      </c>
      <c r="C10" s="136">
        <v>6</v>
      </c>
      <c r="D10" s="136">
        <v>12</v>
      </c>
      <c r="E10" s="137" t="s">
        <v>912</v>
      </c>
      <c r="F10" s="137" t="s">
        <v>896</v>
      </c>
      <c r="G10" s="137" t="s">
        <v>913</v>
      </c>
      <c r="H10" s="138" t="s">
        <v>898</v>
      </c>
      <c r="I10" s="138" t="s">
        <v>899</v>
      </c>
      <c r="J10" s="138" t="s">
        <v>900</v>
      </c>
      <c r="K10" s="138" t="s">
        <v>901</v>
      </c>
      <c r="L10" s="138" t="s">
        <v>899</v>
      </c>
      <c r="M10" s="138" t="s">
        <v>902</v>
      </c>
      <c r="N10" s="138" t="s">
        <v>914</v>
      </c>
      <c r="O10" s="138" t="s">
        <v>896</v>
      </c>
      <c r="P10" s="138" t="s">
        <v>915</v>
      </c>
      <c r="Q10" s="138" t="s">
        <v>904</v>
      </c>
      <c r="R10" s="138" t="s">
        <v>896</v>
      </c>
      <c r="S10" s="138" t="s">
        <v>905</v>
      </c>
      <c r="T10" s="138" t="s">
        <v>906</v>
      </c>
      <c r="U10" s="138">
        <v>0</v>
      </c>
      <c r="V10" s="138">
        <v>100</v>
      </c>
      <c r="W10" s="138" t="s">
        <v>907</v>
      </c>
      <c r="X10" s="139">
        <v>-60</v>
      </c>
      <c r="Y10" s="139">
        <v>0</v>
      </c>
    </row>
    <row r="11" spans="1:25">
      <c r="A11" s="134" t="s">
        <v>930</v>
      </c>
      <c r="B11" s="135" t="s">
        <v>931</v>
      </c>
      <c r="C11" s="136">
        <v>20</v>
      </c>
      <c r="D11" s="136">
        <v>32</v>
      </c>
      <c r="E11" s="137" t="s">
        <v>912</v>
      </c>
      <c r="F11" s="137" t="s">
        <v>896</v>
      </c>
      <c r="G11" s="137" t="s">
        <v>913</v>
      </c>
      <c r="H11" s="138" t="s">
        <v>898</v>
      </c>
      <c r="I11" s="138" t="s">
        <v>899</v>
      </c>
      <c r="J11" s="138" t="s">
        <v>900</v>
      </c>
      <c r="K11" s="138" t="s">
        <v>932</v>
      </c>
      <c r="L11" s="138" t="s">
        <v>902</v>
      </c>
      <c r="M11" s="138" t="s">
        <v>933</v>
      </c>
      <c r="N11" s="138" t="s">
        <v>934</v>
      </c>
      <c r="O11" s="138" t="s">
        <v>899</v>
      </c>
      <c r="P11" s="138" t="s">
        <v>905</v>
      </c>
      <c r="Q11" s="138" t="s">
        <v>914</v>
      </c>
      <c r="R11" s="138" t="s">
        <v>896</v>
      </c>
      <c r="S11" s="138" t="s">
        <v>915</v>
      </c>
      <c r="T11" s="138" t="s">
        <v>906</v>
      </c>
      <c r="U11" s="138">
        <v>0</v>
      </c>
      <c r="V11" s="138">
        <v>100</v>
      </c>
      <c r="W11" s="138" t="s">
        <v>935</v>
      </c>
      <c r="X11" s="139">
        <v>0</v>
      </c>
      <c r="Y11" s="139">
        <v>60</v>
      </c>
    </row>
    <row r="12" spans="1:25">
      <c r="A12" s="134" t="s">
        <v>936</v>
      </c>
      <c r="B12" s="135" t="s">
        <v>937</v>
      </c>
      <c r="C12" s="136">
        <v>14</v>
      </c>
      <c r="D12" s="136">
        <v>28</v>
      </c>
      <c r="E12" s="137" t="s">
        <v>912</v>
      </c>
      <c r="F12" s="137" t="s">
        <v>896</v>
      </c>
      <c r="G12" s="137" t="s">
        <v>913</v>
      </c>
      <c r="H12" s="138" t="s">
        <v>898</v>
      </c>
      <c r="I12" s="138" t="s">
        <v>899</v>
      </c>
      <c r="J12" s="138" t="s">
        <v>900</v>
      </c>
      <c r="K12" s="138" t="s">
        <v>932</v>
      </c>
      <c r="L12" s="138" t="s">
        <v>902</v>
      </c>
      <c r="M12" s="138" t="s">
        <v>933</v>
      </c>
      <c r="N12" s="138" t="s">
        <v>934</v>
      </c>
      <c r="O12" s="138" t="s">
        <v>899</v>
      </c>
      <c r="P12" s="138" t="s">
        <v>905</v>
      </c>
      <c r="Q12" s="138" t="s">
        <v>914</v>
      </c>
      <c r="R12" s="138" t="s">
        <v>896</v>
      </c>
      <c r="S12" s="138" t="s">
        <v>915</v>
      </c>
      <c r="T12" s="138" t="s">
        <v>906</v>
      </c>
      <c r="U12" s="138">
        <v>0</v>
      </c>
      <c r="V12" s="138">
        <v>100</v>
      </c>
      <c r="W12" s="138" t="s">
        <v>935</v>
      </c>
      <c r="X12" s="139">
        <v>0</v>
      </c>
      <c r="Y12" s="139">
        <v>60</v>
      </c>
    </row>
    <row r="13" spans="1:25">
      <c r="A13" s="134" t="s">
        <v>938</v>
      </c>
      <c r="B13" s="135" t="s">
        <v>939</v>
      </c>
      <c r="C13" s="136">
        <v>28</v>
      </c>
      <c r="D13" s="136">
        <v>44</v>
      </c>
      <c r="E13" s="137" t="s">
        <v>912</v>
      </c>
      <c r="F13" s="137" t="s">
        <v>896</v>
      </c>
      <c r="G13" s="137" t="s">
        <v>913</v>
      </c>
      <c r="H13" s="138" t="s">
        <v>898</v>
      </c>
      <c r="I13" s="138" t="s">
        <v>899</v>
      </c>
      <c r="J13" s="138" t="s">
        <v>900</v>
      </c>
      <c r="K13" s="138" t="s">
        <v>940</v>
      </c>
      <c r="L13" s="138" t="s">
        <v>922</v>
      </c>
      <c r="M13" s="138" t="s">
        <v>933</v>
      </c>
      <c r="N13" s="138" t="s">
        <v>903</v>
      </c>
      <c r="O13" s="138" t="s">
        <v>899</v>
      </c>
      <c r="P13" s="138" t="s">
        <v>896</v>
      </c>
      <c r="Q13" s="138" t="s">
        <v>914</v>
      </c>
      <c r="R13" s="138" t="s">
        <v>896</v>
      </c>
      <c r="S13" s="138" t="s">
        <v>915</v>
      </c>
      <c r="T13" s="138" t="s">
        <v>906</v>
      </c>
      <c r="U13" s="138">
        <v>0</v>
      </c>
      <c r="V13" s="138">
        <v>100</v>
      </c>
      <c r="W13" s="138" t="s">
        <v>921</v>
      </c>
      <c r="X13" s="139">
        <v>40</v>
      </c>
      <c r="Y13" s="139">
        <v>80</v>
      </c>
    </row>
    <row r="14" spans="1:25">
      <c r="A14" s="134" t="s">
        <v>941</v>
      </c>
      <c r="B14" s="135" t="s">
        <v>942</v>
      </c>
      <c r="C14" s="136">
        <v>28</v>
      </c>
      <c r="D14" s="136">
        <v>56</v>
      </c>
      <c r="E14" s="137" t="s">
        <v>912</v>
      </c>
      <c r="F14" s="137" t="s">
        <v>896</v>
      </c>
      <c r="G14" s="137" t="s">
        <v>913</v>
      </c>
      <c r="H14" s="138" t="s">
        <v>898</v>
      </c>
      <c r="I14" s="138" t="s">
        <v>899</v>
      </c>
      <c r="J14" s="138" t="s">
        <v>900</v>
      </c>
      <c r="K14" s="138" t="s">
        <v>940</v>
      </c>
      <c r="L14" s="138" t="s">
        <v>922</v>
      </c>
      <c r="M14" s="138" t="s">
        <v>933</v>
      </c>
      <c r="N14" s="138" t="s">
        <v>903</v>
      </c>
      <c r="O14" s="138" t="s">
        <v>899</v>
      </c>
      <c r="P14" s="138" t="s">
        <v>896</v>
      </c>
      <c r="Q14" s="138" t="s">
        <v>914</v>
      </c>
      <c r="R14" s="138" t="s">
        <v>896</v>
      </c>
      <c r="S14" s="138" t="s">
        <v>915</v>
      </c>
      <c r="T14" s="138" t="s">
        <v>906</v>
      </c>
      <c r="U14" s="138">
        <v>0</v>
      </c>
      <c r="V14" s="138">
        <v>100</v>
      </c>
      <c r="W14" s="138" t="s">
        <v>921</v>
      </c>
      <c r="X14" s="139">
        <v>40</v>
      </c>
      <c r="Y14" s="139">
        <v>80</v>
      </c>
    </row>
    <row r="15" spans="1:25">
      <c r="A15" s="134" t="s">
        <v>943</v>
      </c>
      <c r="B15" s="135" t="s">
        <v>944</v>
      </c>
      <c r="C15" s="136">
        <v>34</v>
      </c>
      <c r="D15" s="136">
        <v>60</v>
      </c>
      <c r="E15" s="137" t="s">
        <v>912</v>
      </c>
      <c r="F15" s="137" t="s">
        <v>896</v>
      </c>
      <c r="G15" s="137" t="s">
        <v>913</v>
      </c>
      <c r="H15" s="138" t="s">
        <v>898</v>
      </c>
      <c r="I15" s="138" t="s">
        <v>899</v>
      </c>
      <c r="J15" s="138" t="s">
        <v>900</v>
      </c>
      <c r="K15" s="138" t="s">
        <v>940</v>
      </c>
      <c r="L15" s="138" t="s">
        <v>922</v>
      </c>
      <c r="M15" s="138" t="s">
        <v>933</v>
      </c>
      <c r="N15" s="138" t="s">
        <v>903</v>
      </c>
      <c r="O15" s="138" t="s">
        <v>899</v>
      </c>
      <c r="P15" s="138" t="s">
        <v>896</v>
      </c>
      <c r="Q15" s="138" t="s">
        <v>914</v>
      </c>
      <c r="R15" s="138" t="s">
        <v>896</v>
      </c>
      <c r="S15" s="138" t="s">
        <v>915</v>
      </c>
      <c r="T15" s="138" t="s">
        <v>906</v>
      </c>
      <c r="U15" s="138">
        <v>0</v>
      </c>
      <c r="V15" s="138">
        <v>100</v>
      </c>
      <c r="W15" s="138" t="s">
        <v>921</v>
      </c>
      <c r="X15" s="139">
        <v>40</v>
      </c>
      <c r="Y15" s="139">
        <v>80</v>
      </c>
    </row>
    <row r="16" spans="1:25">
      <c r="A16" s="134" t="s">
        <v>945</v>
      </c>
      <c r="B16" s="135" t="s">
        <v>946</v>
      </c>
      <c r="C16" s="136">
        <v>12</v>
      </c>
      <c r="D16" s="136">
        <v>22</v>
      </c>
      <c r="E16" s="137" t="s">
        <v>912</v>
      </c>
      <c r="F16" s="137" t="s">
        <v>896</v>
      </c>
      <c r="G16" s="137" t="s">
        <v>913</v>
      </c>
      <c r="H16" s="138" t="s">
        <v>898</v>
      </c>
      <c r="I16" s="138" t="s">
        <v>899</v>
      </c>
      <c r="J16" s="138" t="s">
        <v>900</v>
      </c>
      <c r="K16" s="138" t="s">
        <v>921</v>
      </c>
      <c r="L16" s="138" t="s">
        <v>902</v>
      </c>
      <c r="M16" s="138" t="s">
        <v>922</v>
      </c>
      <c r="N16" s="138" t="s">
        <v>934</v>
      </c>
      <c r="O16" s="138" t="s">
        <v>899</v>
      </c>
      <c r="P16" s="138" t="s">
        <v>905</v>
      </c>
      <c r="Q16" s="138" t="s">
        <v>914</v>
      </c>
      <c r="R16" s="138" t="s">
        <v>896</v>
      </c>
      <c r="S16" s="138" t="s">
        <v>915</v>
      </c>
      <c r="T16" s="138" t="s">
        <v>906</v>
      </c>
      <c r="U16" s="138">
        <v>0</v>
      </c>
      <c r="V16" s="138">
        <v>100</v>
      </c>
      <c r="W16" s="138" t="s">
        <v>935</v>
      </c>
      <c r="X16" s="139">
        <v>0</v>
      </c>
      <c r="Y16" s="139">
        <v>60</v>
      </c>
    </row>
    <row r="17" spans="1:25">
      <c r="A17" s="134" t="s">
        <v>947</v>
      </c>
      <c r="B17" s="135" t="s">
        <v>939</v>
      </c>
      <c r="C17" s="136">
        <v>28</v>
      </c>
      <c r="D17" s="136">
        <v>44</v>
      </c>
      <c r="E17" s="137" t="s">
        <v>912</v>
      </c>
      <c r="F17" s="137" t="s">
        <v>896</v>
      </c>
      <c r="G17" s="137" t="s">
        <v>913</v>
      </c>
      <c r="H17" s="138" t="s">
        <v>898</v>
      </c>
      <c r="I17" s="138" t="s">
        <v>899</v>
      </c>
      <c r="J17" s="138" t="s">
        <v>900</v>
      </c>
      <c r="K17" s="138" t="s">
        <v>921</v>
      </c>
      <c r="L17" s="138" t="s">
        <v>902</v>
      </c>
      <c r="M17" s="138" t="s">
        <v>922</v>
      </c>
      <c r="N17" s="138" t="s">
        <v>934</v>
      </c>
      <c r="O17" s="138" t="s">
        <v>899</v>
      </c>
      <c r="P17" s="138" t="s">
        <v>905</v>
      </c>
      <c r="Q17" s="138" t="s">
        <v>914</v>
      </c>
      <c r="R17" s="138" t="s">
        <v>896</v>
      </c>
      <c r="S17" s="138" t="s">
        <v>915</v>
      </c>
      <c r="T17" s="138" t="s">
        <v>906</v>
      </c>
      <c r="U17" s="138">
        <v>0</v>
      </c>
      <c r="V17" s="138">
        <v>100</v>
      </c>
      <c r="W17" s="138" t="s">
        <v>935</v>
      </c>
      <c r="X17" s="139">
        <v>0</v>
      </c>
      <c r="Y17" s="139">
        <v>60</v>
      </c>
    </row>
    <row r="18" spans="1:25">
      <c r="A18" s="134" t="s">
        <v>948</v>
      </c>
      <c r="B18" s="135" t="s">
        <v>949</v>
      </c>
      <c r="C18" s="136">
        <v>12</v>
      </c>
      <c r="D18" s="136">
        <v>50</v>
      </c>
      <c r="E18" s="137" t="s">
        <v>904</v>
      </c>
      <c r="F18" s="137" t="s">
        <v>896</v>
      </c>
      <c r="G18" s="137" t="s">
        <v>905</v>
      </c>
      <c r="H18" s="138" t="s">
        <v>898</v>
      </c>
      <c r="I18" s="138" t="s">
        <v>899</v>
      </c>
      <c r="J18" s="138" t="s">
        <v>900</v>
      </c>
      <c r="K18" s="138" t="s">
        <v>950</v>
      </c>
      <c r="L18" s="138" t="s">
        <v>922</v>
      </c>
      <c r="M18" s="138" t="s">
        <v>915</v>
      </c>
      <c r="N18" s="138" t="s">
        <v>934</v>
      </c>
      <c r="O18" s="138" t="s">
        <v>899</v>
      </c>
      <c r="P18" s="138" t="s">
        <v>905</v>
      </c>
      <c r="Q18" s="138" t="s">
        <v>904</v>
      </c>
      <c r="R18" s="138" t="s">
        <v>896</v>
      </c>
      <c r="S18" s="138" t="s">
        <v>905</v>
      </c>
      <c r="T18" s="138" t="s">
        <v>906</v>
      </c>
      <c r="U18" s="138">
        <v>0</v>
      </c>
      <c r="V18" s="138">
        <v>100</v>
      </c>
      <c r="W18" s="138" t="s">
        <v>951</v>
      </c>
      <c r="X18" s="139">
        <v>60</v>
      </c>
      <c r="Y18" s="139">
        <v>120</v>
      </c>
    </row>
    <row r="19" spans="1:25">
      <c r="A19" s="134" t="s">
        <v>952</v>
      </c>
      <c r="B19" s="135" t="s">
        <v>953</v>
      </c>
      <c r="C19" s="136">
        <v>36</v>
      </c>
      <c r="D19" s="136">
        <v>60</v>
      </c>
      <c r="E19" s="137" t="s">
        <v>904</v>
      </c>
      <c r="F19" s="137" t="s">
        <v>896</v>
      </c>
      <c r="G19" s="137" t="s">
        <v>905</v>
      </c>
      <c r="H19" s="138" t="s">
        <v>898</v>
      </c>
      <c r="I19" s="138" t="s">
        <v>899</v>
      </c>
      <c r="J19" s="138" t="s">
        <v>900</v>
      </c>
      <c r="K19" s="138" t="s">
        <v>950</v>
      </c>
      <c r="L19" s="138" t="s">
        <v>922</v>
      </c>
      <c r="M19" s="138" t="s">
        <v>915</v>
      </c>
      <c r="N19" s="138" t="s">
        <v>934</v>
      </c>
      <c r="O19" s="138" t="s">
        <v>899</v>
      </c>
      <c r="P19" s="138" t="s">
        <v>905</v>
      </c>
      <c r="Q19" s="138" t="s">
        <v>904</v>
      </c>
      <c r="R19" s="138" t="s">
        <v>896</v>
      </c>
      <c r="S19" s="138" t="s">
        <v>905</v>
      </c>
      <c r="T19" s="138" t="s">
        <v>906</v>
      </c>
      <c r="U19" s="138">
        <v>0</v>
      </c>
      <c r="V19" s="138">
        <v>100</v>
      </c>
      <c r="W19" s="138" t="s">
        <v>951</v>
      </c>
      <c r="X19" s="139">
        <v>60</v>
      </c>
      <c r="Y19" s="139">
        <v>120</v>
      </c>
    </row>
    <row r="20" spans="1:25">
      <c r="A20" s="134" t="s">
        <v>954</v>
      </c>
      <c r="B20" s="135" t="s">
        <v>955</v>
      </c>
      <c r="C20" s="136">
        <v>5</v>
      </c>
      <c r="D20" s="136">
        <v>10</v>
      </c>
      <c r="E20" s="137" t="s">
        <v>904</v>
      </c>
      <c r="F20" s="137" t="s">
        <v>896</v>
      </c>
      <c r="G20" s="137" t="s">
        <v>905</v>
      </c>
      <c r="H20" s="138" t="s">
        <v>898</v>
      </c>
      <c r="I20" s="138" t="s">
        <v>899</v>
      </c>
      <c r="J20" s="138" t="s">
        <v>900</v>
      </c>
      <c r="K20" s="138" t="s">
        <v>956</v>
      </c>
      <c r="L20" s="138" t="s">
        <v>899</v>
      </c>
      <c r="M20" s="138" t="s">
        <v>922</v>
      </c>
      <c r="N20" s="138" t="s">
        <v>903</v>
      </c>
      <c r="O20" s="138" t="s">
        <v>899</v>
      </c>
      <c r="P20" s="138" t="s">
        <v>896</v>
      </c>
      <c r="Q20" s="138" t="s">
        <v>934</v>
      </c>
      <c r="R20" s="138" t="s">
        <v>899</v>
      </c>
      <c r="S20" s="138" t="s">
        <v>905</v>
      </c>
      <c r="T20" s="138" t="s">
        <v>906</v>
      </c>
      <c r="U20" s="138">
        <v>0</v>
      </c>
      <c r="V20" s="138">
        <v>100</v>
      </c>
      <c r="W20" s="138" t="s">
        <v>957</v>
      </c>
      <c r="X20" s="139">
        <v>-30</v>
      </c>
      <c r="Y20" s="139">
        <v>0</v>
      </c>
    </row>
    <row r="21" spans="1:25">
      <c r="A21" s="134" t="s">
        <v>958</v>
      </c>
      <c r="B21" s="135" t="s">
        <v>929</v>
      </c>
      <c r="C21" s="136">
        <v>6</v>
      </c>
      <c r="D21" s="136">
        <v>12</v>
      </c>
      <c r="E21" s="137" t="s">
        <v>904</v>
      </c>
      <c r="F21" s="137" t="s">
        <v>896</v>
      </c>
      <c r="G21" s="137" t="s">
        <v>905</v>
      </c>
      <c r="H21" s="138" t="s">
        <v>898</v>
      </c>
      <c r="I21" s="138" t="s">
        <v>899</v>
      </c>
      <c r="J21" s="138" t="s">
        <v>900</v>
      </c>
      <c r="K21" s="138" t="s">
        <v>956</v>
      </c>
      <c r="L21" s="138" t="s">
        <v>899</v>
      </c>
      <c r="M21" s="138" t="s">
        <v>922</v>
      </c>
      <c r="N21" s="138" t="s">
        <v>959</v>
      </c>
      <c r="O21" s="138" t="s">
        <v>905</v>
      </c>
      <c r="P21" s="138" t="s">
        <v>960</v>
      </c>
      <c r="Q21" s="138" t="s">
        <v>904</v>
      </c>
      <c r="R21" s="138" t="s">
        <v>896</v>
      </c>
      <c r="S21" s="138" t="s">
        <v>905</v>
      </c>
      <c r="T21" s="138" t="s">
        <v>906</v>
      </c>
      <c r="U21" s="138">
        <v>0</v>
      </c>
      <c r="V21" s="138">
        <v>100</v>
      </c>
      <c r="W21" s="138" t="s">
        <v>907</v>
      </c>
      <c r="X21" s="139">
        <v>-60</v>
      </c>
      <c r="Y21" s="139">
        <v>0</v>
      </c>
    </row>
    <row r="22" spans="1:25">
      <c r="A22" s="134" t="s">
        <v>961</v>
      </c>
      <c r="B22" s="135" t="s">
        <v>962</v>
      </c>
      <c r="C22" s="136">
        <v>7</v>
      </c>
      <c r="D22" s="136">
        <v>10</v>
      </c>
      <c r="E22" s="137" t="s">
        <v>904</v>
      </c>
      <c r="F22" s="137" t="s">
        <v>896</v>
      </c>
      <c r="G22" s="137" t="s">
        <v>905</v>
      </c>
      <c r="H22" s="138" t="s">
        <v>898</v>
      </c>
      <c r="I22" s="138" t="s">
        <v>899</v>
      </c>
      <c r="J22" s="138" t="s">
        <v>900</v>
      </c>
      <c r="K22" s="138" t="s">
        <v>956</v>
      </c>
      <c r="L22" s="138" t="s">
        <v>899</v>
      </c>
      <c r="M22" s="138" t="s">
        <v>922</v>
      </c>
      <c r="N22" s="138" t="s">
        <v>903</v>
      </c>
      <c r="O22" s="138" t="s">
        <v>899</v>
      </c>
      <c r="P22" s="138" t="s">
        <v>896</v>
      </c>
      <c r="Q22" s="138" t="s">
        <v>934</v>
      </c>
      <c r="R22" s="138" t="s">
        <v>899</v>
      </c>
      <c r="S22" s="138" t="s">
        <v>905</v>
      </c>
      <c r="T22" s="138" t="s">
        <v>906</v>
      </c>
      <c r="U22" s="138">
        <v>0</v>
      </c>
      <c r="V22" s="138">
        <v>100</v>
      </c>
      <c r="W22" s="138" t="s">
        <v>957</v>
      </c>
      <c r="X22" s="139">
        <v>-30</v>
      </c>
      <c r="Y22" s="139">
        <v>0</v>
      </c>
    </row>
    <row r="23" spans="1:25">
      <c r="A23" s="134" t="s">
        <v>963</v>
      </c>
      <c r="B23" s="135" t="s">
        <v>929</v>
      </c>
      <c r="C23" s="136">
        <v>6</v>
      </c>
      <c r="D23" s="136">
        <v>12</v>
      </c>
      <c r="E23" s="137" t="s">
        <v>904</v>
      </c>
      <c r="F23" s="137" t="s">
        <v>896</v>
      </c>
      <c r="G23" s="137" t="s">
        <v>905</v>
      </c>
      <c r="H23" s="138" t="s">
        <v>898</v>
      </c>
      <c r="I23" s="138" t="s">
        <v>899</v>
      </c>
      <c r="J23" s="138" t="s">
        <v>900</v>
      </c>
      <c r="K23" s="138" t="s">
        <v>956</v>
      </c>
      <c r="L23" s="138" t="s">
        <v>899</v>
      </c>
      <c r="M23" s="138" t="s">
        <v>922</v>
      </c>
      <c r="N23" s="138" t="s">
        <v>959</v>
      </c>
      <c r="O23" s="138" t="s">
        <v>905</v>
      </c>
      <c r="P23" s="138" t="s">
        <v>960</v>
      </c>
      <c r="Q23" s="138" t="s">
        <v>904</v>
      </c>
      <c r="R23" s="138" t="s">
        <v>896</v>
      </c>
      <c r="S23" s="138" t="s">
        <v>905</v>
      </c>
      <c r="T23" s="138" t="s">
        <v>906</v>
      </c>
      <c r="U23" s="138">
        <v>0</v>
      </c>
      <c r="V23" s="138">
        <v>100</v>
      </c>
      <c r="W23" s="138" t="s">
        <v>907</v>
      </c>
      <c r="X23" s="139">
        <v>-60</v>
      </c>
      <c r="Y23" s="139">
        <v>0</v>
      </c>
    </row>
    <row r="24" spans="1:25">
      <c r="A24" s="134" t="s">
        <v>964</v>
      </c>
      <c r="B24" s="135" t="s">
        <v>965</v>
      </c>
      <c r="C24" s="136">
        <v>26</v>
      </c>
      <c r="D24" s="136">
        <v>38</v>
      </c>
      <c r="E24" s="137" t="s">
        <v>914</v>
      </c>
      <c r="F24" s="137" t="s">
        <v>896</v>
      </c>
      <c r="G24" s="137" t="s">
        <v>915</v>
      </c>
      <c r="H24" s="138" t="s">
        <v>898</v>
      </c>
      <c r="I24" s="138" t="s">
        <v>899</v>
      </c>
      <c r="J24" s="138" t="s">
        <v>900</v>
      </c>
      <c r="K24" s="138" t="s">
        <v>932</v>
      </c>
      <c r="L24" s="138" t="s">
        <v>902</v>
      </c>
      <c r="M24" s="138" t="s">
        <v>933</v>
      </c>
      <c r="N24" s="138" t="s">
        <v>966</v>
      </c>
      <c r="O24" s="138" t="s">
        <v>905</v>
      </c>
      <c r="P24" s="138" t="s">
        <v>967</v>
      </c>
      <c r="Q24" s="138" t="s">
        <v>904</v>
      </c>
      <c r="R24" s="138" t="s">
        <v>896</v>
      </c>
      <c r="S24" s="138" t="s">
        <v>905</v>
      </c>
      <c r="T24" s="138" t="s">
        <v>906</v>
      </c>
      <c r="U24" s="138">
        <v>0</v>
      </c>
      <c r="V24" s="138">
        <v>100</v>
      </c>
      <c r="W24" s="138" t="s">
        <v>935</v>
      </c>
      <c r="X24" s="139">
        <v>0</v>
      </c>
      <c r="Y24" s="139">
        <v>60</v>
      </c>
    </row>
    <row r="25" spans="1:25">
      <c r="A25" s="134" t="s">
        <v>968</v>
      </c>
      <c r="B25" s="135" t="s">
        <v>969</v>
      </c>
      <c r="C25" s="136">
        <v>20</v>
      </c>
      <c r="D25" s="136">
        <v>28</v>
      </c>
      <c r="E25" s="137" t="s">
        <v>914</v>
      </c>
      <c r="F25" s="137" t="s">
        <v>896</v>
      </c>
      <c r="G25" s="137" t="s">
        <v>915</v>
      </c>
      <c r="H25" s="138" t="s">
        <v>898</v>
      </c>
      <c r="I25" s="138" t="s">
        <v>899</v>
      </c>
      <c r="J25" s="138" t="s">
        <v>900</v>
      </c>
      <c r="K25" s="138" t="s">
        <v>932</v>
      </c>
      <c r="L25" s="138" t="s">
        <v>902</v>
      </c>
      <c r="M25" s="138" t="s">
        <v>933</v>
      </c>
      <c r="N25" s="138" t="s">
        <v>966</v>
      </c>
      <c r="O25" s="138" t="s">
        <v>905</v>
      </c>
      <c r="P25" s="138" t="s">
        <v>967</v>
      </c>
      <c r="Q25" s="138" t="s">
        <v>904</v>
      </c>
      <c r="R25" s="138" t="s">
        <v>896</v>
      </c>
      <c r="S25" s="138" t="s">
        <v>905</v>
      </c>
      <c r="T25" s="138" t="s">
        <v>906</v>
      </c>
      <c r="U25" s="138">
        <v>0</v>
      </c>
      <c r="V25" s="138">
        <v>100</v>
      </c>
      <c r="W25" s="138" t="s">
        <v>935</v>
      </c>
      <c r="X25" s="139">
        <v>0</v>
      </c>
      <c r="Y25" s="139">
        <v>60</v>
      </c>
    </row>
    <row r="26" spans="1:25">
      <c r="A26" s="134" t="s">
        <v>970</v>
      </c>
      <c r="B26" s="135" t="s">
        <v>971</v>
      </c>
      <c r="C26" s="136">
        <v>22</v>
      </c>
      <c r="D26" s="136">
        <v>34</v>
      </c>
      <c r="E26" s="137" t="s">
        <v>914</v>
      </c>
      <c r="F26" s="137" t="s">
        <v>896</v>
      </c>
      <c r="G26" s="137" t="s">
        <v>915</v>
      </c>
      <c r="H26" s="138" t="s">
        <v>898</v>
      </c>
      <c r="I26" s="138" t="s">
        <v>899</v>
      </c>
      <c r="J26" s="138" t="s">
        <v>900</v>
      </c>
      <c r="K26" s="138" t="s">
        <v>932</v>
      </c>
      <c r="L26" s="138" t="s">
        <v>902</v>
      </c>
      <c r="M26" s="138" t="s">
        <v>933</v>
      </c>
      <c r="N26" s="138" t="s">
        <v>966</v>
      </c>
      <c r="O26" s="138" t="s">
        <v>905</v>
      </c>
      <c r="P26" s="138" t="s">
        <v>967</v>
      </c>
      <c r="Q26" s="138" t="s">
        <v>904</v>
      </c>
      <c r="R26" s="138" t="s">
        <v>896</v>
      </c>
      <c r="S26" s="138" t="s">
        <v>905</v>
      </c>
      <c r="T26" s="138" t="s">
        <v>906</v>
      </c>
      <c r="U26" s="138">
        <v>0</v>
      </c>
      <c r="V26" s="138">
        <v>100</v>
      </c>
      <c r="W26" s="138" t="s">
        <v>935</v>
      </c>
      <c r="X26" s="139">
        <v>0</v>
      </c>
      <c r="Y26" s="139">
        <v>60</v>
      </c>
    </row>
    <row r="27" spans="1:25">
      <c r="A27" s="134" t="s">
        <v>972</v>
      </c>
      <c r="B27" s="135" t="s">
        <v>973</v>
      </c>
      <c r="C27" s="136">
        <v>8</v>
      </c>
      <c r="D27" s="136">
        <v>28</v>
      </c>
      <c r="E27" s="137" t="s">
        <v>904</v>
      </c>
      <c r="F27" s="137" t="s">
        <v>896</v>
      </c>
      <c r="G27" s="137" t="s">
        <v>905</v>
      </c>
      <c r="H27" s="138" t="s">
        <v>898</v>
      </c>
      <c r="I27" s="138" t="s">
        <v>899</v>
      </c>
      <c r="J27" s="138" t="s">
        <v>900</v>
      </c>
      <c r="K27" s="138" t="s">
        <v>956</v>
      </c>
      <c r="L27" s="138" t="s">
        <v>899</v>
      </c>
      <c r="M27" s="138" t="s">
        <v>922</v>
      </c>
      <c r="N27" s="138" t="s">
        <v>959</v>
      </c>
      <c r="O27" s="138" t="s">
        <v>905</v>
      </c>
      <c r="P27" s="138" t="s">
        <v>960</v>
      </c>
      <c r="Q27" s="138" t="s">
        <v>904</v>
      </c>
      <c r="R27" s="138" t="s">
        <v>896</v>
      </c>
      <c r="S27" s="138" t="s">
        <v>905</v>
      </c>
      <c r="T27" s="138" t="s">
        <v>906</v>
      </c>
      <c r="U27" s="138">
        <v>0</v>
      </c>
      <c r="V27" s="138">
        <v>100</v>
      </c>
      <c r="W27" s="138" t="s">
        <v>907</v>
      </c>
      <c r="X27" s="139">
        <v>-60</v>
      </c>
      <c r="Y27" s="139">
        <v>0</v>
      </c>
    </row>
    <row r="28" spans="1:25">
      <c r="A28" s="134" t="s">
        <v>974</v>
      </c>
      <c r="B28" s="135" t="s">
        <v>975</v>
      </c>
      <c r="C28" s="136">
        <v>10</v>
      </c>
      <c r="D28" s="136">
        <v>32</v>
      </c>
      <c r="E28" s="137" t="s">
        <v>914</v>
      </c>
      <c r="F28" s="137" t="s">
        <v>896</v>
      </c>
      <c r="G28" s="137" t="s">
        <v>915</v>
      </c>
      <c r="H28" s="138" t="s">
        <v>898</v>
      </c>
      <c r="I28" s="138" t="s">
        <v>899</v>
      </c>
      <c r="J28" s="138" t="s">
        <v>900</v>
      </c>
      <c r="K28" s="138" t="s">
        <v>932</v>
      </c>
      <c r="L28" s="138" t="s">
        <v>902</v>
      </c>
      <c r="M28" s="138" t="s">
        <v>933</v>
      </c>
      <c r="N28" s="138" t="s">
        <v>959</v>
      </c>
      <c r="O28" s="138" t="s">
        <v>905</v>
      </c>
      <c r="P28" s="138" t="s">
        <v>960</v>
      </c>
      <c r="Q28" s="138" t="s">
        <v>904</v>
      </c>
      <c r="R28" s="138" t="s">
        <v>896</v>
      </c>
      <c r="S28" s="138" t="s">
        <v>905</v>
      </c>
      <c r="T28" s="138" t="s">
        <v>906</v>
      </c>
      <c r="U28" s="138">
        <v>0</v>
      </c>
      <c r="V28" s="138">
        <v>100</v>
      </c>
      <c r="W28" s="138" t="s">
        <v>935</v>
      </c>
      <c r="X28" s="139">
        <v>0</v>
      </c>
      <c r="Y28" s="139">
        <v>60</v>
      </c>
    </row>
    <row r="29" spans="1:25">
      <c r="A29" s="134" t="s">
        <v>976</v>
      </c>
      <c r="B29" s="135" t="s">
        <v>977</v>
      </c>
      <c r="C29" s="136">
        <v>12</v>
      </c>
      <c r="D29" s="136">
        <v>36</v>
      </c>
      <c r="E29" s="137" t="s">
        <v>914</v>
      </c>
      <c r="F29" s="137" t="s">
        <v>896</v>
      </c>
      <c r="G29" s="137" t="s">
        <v>915</v>
      </c>
      <c r="H29" s="138" t="s">
        <v>898</v>
      </c>
      <c r="I29" s="138" t="s">
        <v>899</v>
      </c>
      <c r="J29" s="138" t="s">
        <v>900</v>
      </c>
      <c r="K29" s="138" t="s">
        <v>932</v>
      </c>
      <c r="L29" s="138" t="s">
        <v>902</v>
      </c>
      <c r="M29" s="138" t="s">
        <v>933</v>
      </c>
      <c r="N29" s="138" t="s">
        <v>966</v>
      </c>
      <c r="O29" s="138" t="s">
        <v>905</v>
      </c>
      <c r="P29" s="138" t="s">
        <v>967</v>
      </c>
      <c r="Q29" s="138" t="s">
        <v>904</v>
      </c>
      <c r="R29" s="138" t="s">
        <v>896</v>
      </c>
      <c r="S29" s="138" t="s">
        <v>905</v>
      </c>
      <c r="T29" s="138" t="s">
        <v>906</v>
      </c>
      <c r="U29" s="138">
        <v>0</v>
      </c>
      <c r="V29" s="138">
        <v>100</v>
      </c>
      <c r="W29" s="138" t="s">
        <v>935</v>
      </c>
      <c r="X29" s="139">
        <v>0</v>
      </c>
      <c r="Y29" s="139">
        <v>60</v>
      </c>
    </row>
    <row r="30" spans="1:25">
      <c r="A30" s="134" t="s">
        <v>978</v>
      </c>
      <c r="B30" s="135" t="s">
        <v>979</v>
      </c>
      <c r="C30" s="136">
        <v>18</v>
      </c>
      <c r="D30" s="136">
        <v>34</v>
      </c>
      <c r="E30" s="137" t="s">
        <v>914</v>
      </c>
      <c r="F30" s="137" t="s">
        <v>896</v>
      </c>
      <c r="G30" s="137" t="s">
        <v>915</v>
      </c>
      <c r="H30" s="138" t="s">
        <v>898</v>
      </c>
      <c r="I30" s="138" t="s">
        <v>899</v>
      </c>
      <c r="J30" s="138" t="s">
        <v>900</v>
      </c>
      <c r="K30" s="138" t="s">
        <v>932</v>
      </c>
      <c r="L30" s="138" t="s">
        <v>902</v>
      </c>
      <c r="M30" s="138" t="s">
        <v>933</v>
      </c>
      <c r="N30" s="138" t="s">
        <v>959</v>
      </c>
      <c r="O30" s="138" t="s">
        <v>905</v>
      </c>
      <c r="P30" s="138" t="s">
        <v>960</v>
      </c>
      <c r="Q30" s="138" t="s">
        <v>904</v>
      </c>
      <c r="R30" s="138" t="s">
        <v>896</v>
      </c>
      <c r="S30" s="138" t="s">
        <v>905</v>
      </c>
      <c r="T30" s="138" t="s">
        <v>906</v>
      </c>
      <c r="U30" s="138">
        <v>0</v>
      </c>
      <c r="V30" s="138">
        <v>100</v>
      </c>
      <c r="W30" s="138" t="s">
        <v>935</v>
      </c>
      <c r="X30" s="139">
        <v>0</v>
      </c>
      <c r="Y30" s="139">
        <v>60</v>
      </c>
    </row>
    <row r="31" spans="1:25">
      <c r="A31" s="134" t="s">
        <v>980</v>
      </c>
      <c r="B31" s="135" t="s">
        <v>979</v>
      </c>
      <c r="C31" s="136">
        <v>18</v>
      </c>
      <c r="D31" s="136">
        <v>34</v>
      </c>
      <c r="E31" s="137" t="s">
        <v>914</v>
      </c>
      <c r="F31" s="137" t="s">
        <v>896</v>
      </c>
      <c r="G31" s="137" t="s">
        <v>915</v>
      </c>
      <c r="H31" s="138" t="s">
        <v>898</v>
      </c>
      <c r="I31" s="138" t="s">
        <v>899</v>
      </c>
      <c r="J31" s="138" t="s">
        <v>900</v>
      </c>
      <c r="K31" s="138" t="s">
        <v>932</v>
      </c>
      <c r="L31" s="138" t="s">
        <v>902</v>
      </c>
      <c r="M31" s="138" t="s">
        <v>933</v>
      </c>
      <c r="N31" s="138" t="s">
        <v>959</v>
      </c>
      <c r="O31" s="138" t="s">
        <v>905</v>
      </c>
      <c r="P31" s="138" t="s">
        <v>960</v>
      </c>
      <c r="Q31" s="138" t="s">
        <v>904</v>
      </c>
      <c r="R31" s="138" t="s">
        <v>896</v>
      </c>
      <c r="S31" s="138" t="s">
        <v>905</v>
      </c>
      <c r="T31" s="138" t="s">
        <v>906</v>
      </c>
      <c r="U31" s="138">
        <v>0</v>
      </c>
      <c r="V31" s="138">
        <v>100</v>
      </c>
      <c r="W31" s="138" t="s">
        <v>935</v>
      </c>
      <c r="X31" s="139">
        <v>0</v>
      </c>
      <c r="Y31" s="139">
        <v>60</v>
      </c>
    </row>
    <row r="32" spans="1:25">
      <c r="A32" s="134" t="s">
        <v>981</v>
      </c>
      <c r="B32" s="135" t="s">
        <v>979</v>
      </c>
      <c r="C32" s="136">
        <v>18</v>
      </c>
      <c r="D32" s="136">
        <v>34</v>
      </c>
      <c r="E32" s="137" t="s">
        <v>914</v>
      </c>
      <c r="F32" s="137" t="s">
        <v>896</v>
      </c>
      <c r="G32" s="137" t="s">
        <v>915</v>
      </c>
      <c r="H32" s="138" t="s">
        <v>898</v>
      </c>
      <c r="I32" s="138" t="s">
        <v>899</v>
      </c>
      <c r="J32" s="138" t="s">
        <v>900</v>
      </c>
      <c r="K32" s="138" t="s">
        <v>932</v>
      </c>
      <c r="L32" s="138" t="s">
        <v>902</v>
      </c>
      <c r="M32" s="138" t="s">
        <v>933</v>
      </c>
      <c r="N32" s="138" t="s">
        <v>959</v>
      </c>
      <c r="O32" s="138" t="s">
        <v>905</v>
      </c>
      <c r="P32" s="138" t="s">
        <v>960</v>
      </c>
      <c r="Q32" s="138" t="s">
        <v>904</v>
      </c>
      <c r="R32" s="138" t="s">
        <v>896</v>
      </c>
      <c r="S32" s="138" t="s">
        <v>905</v>
      </c>
      <c r="T32" s="138" t="s">
        <v>906</v>
      </c>
      <c r="U32" s="138">
        <v>0</v>
      </c>
      <c r="V32" s="138">
        <v>100</v>
      </c>
      <c r="W32" s="138" t="s">
        <v>935</v>
      </c>
      <c r="X32" s="139">
        <v>0</v>
      </c>
      <c r="Y32" s="139">
        <v>60</v>
      </c>
    </row>
    <row r="33" spans="1:25">
      <c r="A33" s="134" t="s">
        <v>982</v>
      </c>
      <c r="B33" s="135" t="s">
        <v>983</v>
      </c>
      <c r="C33" s="136">
        <v>18</v>
      </c>
      <c r="D33" s="136">
        <v>36</v>
      </c>
      <c r="E33" s="137" t="s">
        <v>914</v>
      </c>
      <c r="F33" s="137" t="s">
        <v>896</v>
      </c>
      <c r="G33" s="137" t="s">
        <v>915</v>
      </c>
      <c r="H33" s="138" t="s">
        <v>898</v>
      </c>
      <c r="I33" s="138" t="s">
        <v>899</v>
      </c>
      <c r="J33" s="138" t="s">
        <v>900</v>
      </c>
      <c r="K33" s="138" t="s">
        <v>932</v>
      </c>
      <c r="L33" s="138" t="s">
        <v>902</v>
      </c>
      <c r="M33" s="138" t="s">
        <v>933</v>
      </c>
      <c r="N33" s="138" t="s">
        <v>966</v>
      </c>
      <c r="O33" s="138" t="s">
        <v>905</v>
      </c>
      <c r="P33" s="138" t="s">
        <v>967</v>
      </c>
      <c r="Q33" s="138" t="s">
        <v>904</v>
      </c>
      <c r="R33" s="138" t="s">
        <v>896</v>
      </c>
      <c r="S33" s="138" t="s">
        <v>905</v>
      </c>
      <c r="T33" s="138" t="s">
        <v>906</v>
      </c>
      <c r="U33" s="138">
        <v>0</v>
      </c>
      <c r="V33" s="138">
        <v>100</v>
      </c>
      <c r="W33" s="138" t="s">
        <v>935</v>
      </c>
      <c r="X33" s="139">
        <v>0</v>
      </c>
      <c r="Y33" s="139">
        <v>60</v>
      </c>
    </row>
    <row r="34" spans="1:25">
      <c r="A34" s="134" t="s">
        <v>984</v>
      </c>
      <c r="B34" s="135" t="s">
        <v>985</v>
      </c>
      <c r="C34" s="136">
        <v>28</v>
      </c>
      <c r="D34" s="136">
        <v>50</v>
      </c>
      <c r="E34" s="137" t="s">
        <v>904</v>
      </c>
      <c r="F34" s="137" t="s">
        <v>896</v>
      </c>
      <c r="G34" s="137" t="s">
        <v>905</v>
      </c>
      <c r="H34" s="138" t="s">
        <v>898</v>
      </c>
      <c r="I34" s="138" t="s">
        <v>899</v>
      </c>
      <c r="J34" s="138" t="s">
        <v>900</v>
      </c>
      <c r="K34" s="138" t="s">
        <v>932</v>
      </c>
      <c r="L34" s="138" t="s">
        <v>902</v>
      </c>
      <c r="M34" s="138" t="s">
        <v>933</v>
      </c>
      <c r="N34" s="138" t="s">
        <v>904</v>
      </c>
      <c r="O34" s="138" t="s">
        <v>896</v>
      </c>
      <c r="P34" s="138" t="s">
        <v>905</v>
      </c>
      <c r="Q34" s="138" t="s">
        <v>914</v>
      </c>
      <c r="R34" s="138" t="s">
        <v>896</v>
      </c>
      <c r="S34" s="138" t="s">
        <v>915</v>
      </c>
      <c r="T34" s="138" t="s">
        <v>906</v>
      </c>
      <c r="U34" s="138">
        <v>0</v>
      </c>
      <c r="V34" s="138">
        <v>100</v>
      </c>
      <c r="W34" s="138" t="s">
        <v>935</v>
      </c>
      <c r="X34" s="139">
        <v>0</v>
      </c>
      <c r="Y34" s="139">
        <v>60</v>
      </c>
    </row>
    <row r="35" spans="1:25">
      <c r="A35" s="134" t="s">
        <v>986</v>
      </c>
      <c r="B35" s="135" t="s">
        <v>987</v>
      </c>
      <c r="C35" s="136">
        <v>10</v>
      </c>
      <c r="D35" s="136">
        <v>28</v>
      </c>
      <c r="E35" s="137" t="s">
        <v>988</v>
      </c>
      <c r="F35" s="137" t="s">
        <v>896</v>
      </c>
      <c r="G35" s="137" t="s">
        <v>915</v>
      </c>
      <c r="H35" s="138" t="s">
        <v>989</v>
      </c>
      <c r="I35" s="138" t="s">
        <v>899</v>
      </c>
      <c r="J35" s="138" t="s">
        <v>900</v>
      </c>
      <c r="K35" s="138" t="s">
        <v>990</v>
      </c>
      <c r="L35" s="138" t="s">
        <v>902</v>
      </c>
      <c r="M35" s="138" t="s">
        <v>933</v>
      </c>
      <c r="N35" s="138" t="s">
        <v>991</v>
      </c>
      <c r="O35" s="138" t="s">
        <v>905</v>
      </c>
      <c r="P35" s="138" t="s">
        <v>992</v>
      </c>
      <c r="Q35" s="138" t="s">
        <v>934</v>
      </c>
      <c r="R35" s="138" t="s">
        <v>899</v>
      </c>
      <c r="S35" s="138" t="s">
        <v>905</v>
      </c>
      <c r="T35" s="138" t="s">
        <v>906</v>
      </c>
      <c r="U35" s="138">
        <v>0</v>
      </c>
      <c r="V35" s="138">
        <v>100</v>
      </c>
      <c r="W35" s="138" t="s">
        <v>923</v>
      </c>
      <c r="X35" s="139">
        <v>-30</v>
      </c>
      <c r="Y35" s="139">
        <v>30</v>
      </c>
    </row>
    <row r="36" spans="1:25">
      <c r="A36" s="134" t="s">
        <v>993</v>
      </c>
      <c r="B36" s="135" t="s">
        <v>994</v>
      </c>
      <c r="C36" s="136">
        <v>20</v>
      </c>
      <c r="D36" s="136">
        <v>34</v>
      </c>
      <c r="E36" s="137" t="s">
        <v>988</v>
      </c>
      <c r="F36" s="137" t="s">
        <v>896</v>
      </c>
      <c r="G36" s="137" t="s">
        <v>915</v>
      </c>
      <c r="H36" s="138" t="s">
        <v>989</v>
      </c>
      <c r="I36" s="138" t="s">
        <v>899</v>
      </c>
      <c r="J36" s="138" t="s">
        <v>900</v>
      </c>
      <c r="K36" s="138" t="s">
        <v>990</v>
      </c>
      <c r="L36" s="138" t="s">
        <v>902</v>
      </c>
      <c r="M36" s="138" t="s">
        <v>933</v>
      </c>
      <c r="N36" s="138" t="s">
        <v>995</v>
      </c>
      <c r="O36" s="138" t="s">
        <v>905</v>
      </c>
      <c r="P36" s="138" t="s">
        <v>967</v>
      </c>
      <c r="Q36" s="138" t="s">
        <v>996</v>
      </c>
      <c r="R36" s="138" t="s">
        <v>896</v>
      </c>
      <c r="S36" s="138" t="s">
        <v>905</v>
      </c>
      <c r="T36" s="138" t="s">
        <v>906</v>
      </c>
      <c r="U36" s="138">
        <v>0</v>
      </c>
      <c r="V36" s="138">
        <v>100</v>
      </c>
      <c r="W36" s="138" t="s">
        <v>997</v>
      </c>
      <c r="X36" s="139">
        <v>0</v>
      </c>
      <c r="Y36" s="139">
        <v>60</v>
      </c>
    </row>
    <row r="37" spans="1:25">
      <c r="A37" s="134" t="s">
        <v>998</v>
      </c>
      <c r="B37" s="135" t="s">
        <v>999</v>
      </c>
      <c r="C37" s="136">
        <v>36</v>
      </c>
      <c r="D37" s="136">
        <v>70</v>
      </c>
      <c r="E37" s="137" t="s">
        <v>912</v>
      </c>
      <c r="F37" s="137" t="s">
        <v>896</v>
      </c>
      <c r="G37" s="137" t="s">
        <v>913</v>
      </c>
      <c r="H37" s="138" t="s">
        <v>898</v>
      </c>
      <c r="I37" s="138" t="s">
        <v>899</v>
      </c>
      <c r="J37" s="138" t="s">
        <v>900</v>
      </c>
      <c r="K37" s="138" t="s">
        <v>1000</v>
      </c>
      <c r="L37" s="138" t="s">
        <v>922</v>
      </c>
      <c r="M37" s="138" t="s">
        <v>1001</v>
      </c>
      <c r="N37" s="138" t="s">
        <v>914</v>
      </c>
      <c r="O37" s="138" t="s">
        <v>896</v>
      </c>
      <c r="P37" s="138" t="s">
        <v>915</v>
      </c>
      <c r="Q37" s="138" t="s">
        <v>914</v>
      </c>
      <c r="R37" s="138" t="s">
        <v>896</v>
      </c>
      <c r="S37" s="138" t="s">
        <v>915</v>
      </c>
      <c r="T37" s="138" t="s">
        <v>906</v>
      </c>
      <c r="U37" s="138">
        <v>0</v>
      </c>
      <c r="V37" s="138">
        <v>100</v>
      </c>
      <c r="W37" s="138" t="s">
        <v>951</v>
      </c>
      <c r="X37" s="139">
        <v>60</v>
      </c>
      <c r="Y37" s="139">
        <v>120</v>
      </c>
    </row>
    <row r="38" spans="1:25">
      <c r="A38" s="134" t="s">
        <v>1002</v>
      </c>
      <c r="B38" s="135" t="s">
        <v>1003</v>
      </c>
      <c r="C38" s="136">
        <v>24</v>
      </c>
      <c r="D38" s="136">
        <v>50</v>
      </c>
      <c r="E38" s="137" t="s">
        <v>914</v>
      </c>
      <c r="F38" s="137" t="s">
        <v>896</v>
      </c>
      <c r="G38" s="137" t="s">
        <v>915</v>
      </c>
      <c r="H38" s="138" t="s">
        <v>898</v>
      </c>
      <c r="I38" s="138" t="s">
        <v>899</v>
      </c>
      <c r="J38" s="138" t="s">
        <v>900</v>
      </c>
      <c r="K38" s="138" t="s">
        <v>932</v>
      </c>
      <c r="L38" s="138" t="s">
        <v>902</v>
      </c>
      <c r="M38" s="138" t="s">
        <v>933</v>
      </c>
      <c r="N38" s="138" t="s">
        <v>959</v>
      </c>
      <c r="O38" s="138" t="s">
        <v>905</v>
      </c>
      <c r="P38" s="138" t="s">
        <v>960</v>
      </c>
      <c r="Q38" s="138" t="s">
        <v>904</v>
      </c>
      <c r="R38" s="138" t="s">
        <v>896</v>
      </c>
      <c r="S38" s="138" t="s">
        <v>905</v>
      </c>
      <c r="T38" s="138" t="s">
        <v>906</v>
      </c>
      <c r="U38" s="138">
        <v>0</v>
      </c>
      <c r="V38" s="138">
        <v>100</v>
      </c>
      <c r="W38" s="138" t="s">
        <v>935</v>
      </c>
      <c r="X38" s="139">
        <v>0</v>
      </c>
      <c r="Y38" s="139">
        <v>60</v>
      </c>
    </row>
    <row r="39" spans="1:25">
      <c r="A39" s="134" t="s">
        <v>1004</v>
      </c>
      <c r="B39" s="135" t="s">
        <v>1005</v>
      </c>
      <c r="C39" s="136">
        <v>38</v>
      </c>
      <c r="D39" s="136">
        <v>70</v>
      </c>
      <c r="E39" s="137" t="s">
        <v>912</v>
      </c>
      <c r="F39" s="137" t="s">
        <v>896</v>
      </c>
      <c r="G39" s="137" t="s">
        <v>913</v>
      </c>
      <c r="H39" s="138" t="s">
        <v>898</v>
      </c>
      <c r="I39" s="138" t="s">
        <v>899</v>
      </c>
      <c r="J39" s="138" t="s">
        <v>900</v>
      </c>
      <c r="K39" s="138" t="s">
        <v>950</v>
      </c>
      <c r="L39" s="138" t="s">
        <v>922</v>
      </c>
      <c r="M39" s="138" t="s">
        <v>915</v>
      </c>
      <c r="N39" s="138" t="s">
        <v>914</v>
      </c>
      <c r="O39" s="138" t="s">
        <v>896</v>
      </c>
      <c r="P39" s="138" t="s">
        <v>915</v>
      </c>
      <c r="Q39" s="138" t="s">
        <v>904</v>
      </c>
      <c r="R39" s="138" t="s">
        <v>896</v>
      </c>
      <c r="S39" s="138" t="s">
        <v>905</v>
      </c>
      <c r="T39" s="138" t="s">
        <v>906</v>
      </c>
      <c r="U39" s="138">
        <v>0</v>
      </c>
      <c r="V39" s="138">
        <v>100</v>
      </c>
      <c r="W39" s="138" t="s">
        <v>1006</v>
      </c>
      <c r="X39" s="139">
        <v>30</v>
      </c>
      <c r="Y39" s="139">
        <v>90</v>
      </c>
    </row>
    <row r="40" spans="1:25">
      <c r="A40" s="134" t="s">
        <v>1007</v>
      </c>
      <c r="B40" s="135" t="s">
        <v>1008</v>
      </c>
      <c r="C40" s="136">
        <v>24</v>
      </c>
      <c r="D40" s="136">
        <v>44</v>
      </c>
      <c r="E40" s="137" t="s">
        <v>912</v>
      </c>
      <c r="F40" s="137" t="s">
        <v>896</v>
      </c>
      <c r="G40" s="137" t="s">
        <v>913</v>
      </c>
      <c r="H40" s="138" t="s">
        <v>898</v>
      </c>
      <c r="I40" s="138" t="s">
        <v>899</v>
      </c>
      <c r="J40" s="138" t="s">
        <v>900</v>
      </c>
      <c r="K40" s="138" t="s">
        <v>950</v>
      </c>
      <c r="L40" s="138" t="s">
        <v>922</v>
      </c>
      <c r="M40" s="138" t="s">
        <v>915</v>
      </c>
      <c r="N40" s="138" t="s">
        <v>914</v>
      </c>
      <c r="O40" s="138" t="s">
        <v>896</v>
      </c>
      <c r="P40" s="138" t="s">
        <v>915</v>
      </c>
      <c r="Q40" s="138" t="s">
        <v>904</v>
      </c>
      <c r="R40" s="138" t="s">
        <v>896</v>
      </c>
      <c r="S40" s="138" t="s">
        <v>905</v>
      </c>
      <c r="T40" s="138" t="s">
        <v>906</v>
      </c>
      <c r="U40" s="138">
        <v>0</v>
      </c>
      <c r="V40" s="138">
        <v>100</v>
      </c>
      <c r="W40" s="138" t="s">
        <v>1006</v>
      </c>
      <c r="X40" s="139">
        <v>30</v>
      </c>
      <c r="Y40" s="139">
        <v>90</v>
      </c>
    </row>
    <row r="41" spans="1:25">
      <c r="A41" s="134" t="s">
        <v>1009</v>
      </c>
      <c r="B41" s="135" t="s">
        <v>1010</v>
      </c>
      <c r="C41" s="136">
        <v>40</v>
      </c>
      <c r="D41" s="136">
        <v>60</v>
      </c>
      <c r="E41" s="137" t="s">
        <v>912</v>
      </c>
      <c r="F41" s="137" t="s">
        <v>896</v>
      </c>
      <c r="G41" s="137" t="s">
        <v>913</v>
      </c>
      <c r="H41" s="138" t="s">
        <v>898</v>
      </c>
      <c r="I41" s="138" t="s">
        <v>899</v>
      </c>
      <c r="J41" s="138" t="s">
        <v>900</v>
      </c>
      <c r="K41" s="138" t="s">
        <v>950</v>
      </c>
      <c r="L41" s="138" t="s">
        <v>922</v>
      </c>
      <c r="M41" s="138" t="s">
        <v>915</v>
      </c>
      <c r="N41" s="138" t="s">
        <v>914</v>
      </c>
      <c r="O41" s="138" t="s">
        <v>896</v>
      </c>
      <c r="P41" s="138" t="s">
        <v>915</v>
      </c>
      <c r="Q41" s="138" t="s">
        <v>904</v>
      </c>
      <c r="R41" s="138" t="s">
        <v>896</v>
      </c>
      <c r="S41" s="138" t="s">
        <v>905</v>
      </c>
      <c r="T41" s="138" t="s">
        <v>906</v>
      </c>
      <c r="U41" s="138">
        <v>0</v>
      </c>
      <c r="V41" s="138">
        <v>100</v>
      </c>
      <c r="W41" s="138" t="s">
        <v>1006</v>
      </c>
      <c r="X41" s="139">
        <v>30</v>
      </c>
      <c r="Y41" s="139">
        <v>90</v>
      </c>
    </row>
    <row r="42" spans="1:25">
      <c r="A42" s="134" t="s">
        <v>1011</v>
      </c>
      <c r="B42" s="135" t="s">
        <v>1012</v>
      </c>
      <c r="C42" s="136">
        <v>44</v>
      </c>
      <c r="D42" s="136">
        <v>70</v>
      </c>
      <c r="E42" s="137" t="s">
        <v>912</v>
      </c>
      <c r="F42" s="137" t="s">
        <v>896</v>
      </c>
      <c r="G42" s="137" t="s">
        <v>913</v>
      </c>
      <c r="H42" s="138" t="s">
        <v>898</v>
      </c>
      <c r="I42" s="138" t="s">
        <v>899</v>
      </c>
      <c r="J42" s="138" t="s">
        <v>900</v>
      </c>
      <c r="K42" s="138" t="s">
        <v>1000</v>
      </c>
      <c r="L42" s="138" t="s">
        <v>922</v>
      </c>
      <c r="M42" s="138" t="s">
        <v>1001</v>
      </c>
      <c r="N42" s="138" t="s">
        <v>914</v>
      </c>
      <c r="O42" s="138" t="s">
        <v>896</v>
      </c>
      <c r="P42" s="138" t="s">
        <v>915</v>
      </c>
      <c r="Q42" s="138" t="s">
        <v>914</v>
      </c>
      <c r="R42" s="138" t="s">
        <v>896</v>
      </c>
      <c r="S42" s="138" t="s">
        <v>915</v>
      </c>
      <c r="T42" s="138" t="s">
        <v>906</v>
      </c>
      <c r="U42" s="138">
        <v>0</v>
      </c>
      <c r="V42" s="138">
        <v>100</v>
      </c>
      <c r="W42" s="138" t="s">
        <v>951</v>
      </c>
      <c r="X42" s="139">
        <v>60</v>
      </c>
      <c r="Y42" s="139">
        <v>120</v>
      </c>
    </row>
    <row r="43" spans="1:25">
      <c r="A43" s="134" t="s">
        <v>1013</v>
      </c>
      <c r="B43" s="135" t="s">
        <v>944</v>
      </c>
      <c r="C43" s="136">
        <v>34</v>
      </c>
      <c r="D43" s="136">
        <v>60</v>
      </c>
      <c r="E43" s="137" t="s">
        <v>912</v>
      </c>
      <c r="F43" s="137" t="s">
        <v>896</v>
      </c>
      <c r="G43" s="137" t="s">
        <v>913</v>
      </c>
      <c r="H43" s="138" t="s">
        <v>898</v>
      </c>
      <c r="I43" s="138" t="s">
        <v>899</v>
      </c>
      <c r="J43" s="138" t="s">
        <v>900</v>
      </c>
      <c r="K43" s="138" t="s">
        <v>1000</v>
      </c>
      <c r="L43" s="138" t="s">
        <v>922</v>
      </c>
      <c r="M43" s="138" t="s">
        <v>1001</v>
      </c>
      <c r="N43" s="138" t="s">
        <v>914</v>
      </c>
      <c r="O43" s="138" t="s">
        <v>896</v>
      </c>
      <c r="P43" s="138" t="s">
        <v>915</v>
      </c>
      <c r="Q43" s="138" t="s">
        <v>914</v>
      </c>
      <c r="R43" s="138" t="s">
        <v>896</v>
      </c>
      <c r="S43" s="138" t="s">
        <v>915</v>
      </c>
      <c r="T43" s="138" t="s">
        <v>906</v>
      </c>
      <c r="U43" s="138">
        <v>0</v>
      </c>
      <c r="V43" s="138">
        <v>100</v>
      </c>
      <c r="W43" s="138" t="s">
        <v>951</v>
      </c>
      <c r="X43" s="139">
        <v>60</v>
      </c>
      <c r="Y43" s="139">
        <v>120</v>
      </c>
    </row>
    <row r="44" spans="1:25">
      <c r="A44" s="134" t="s">
        <v>1014</v>
      </c>
      <c r="B44" s="135" t="s">
        <v>1015</v>
      </c>
      <c r="C44" s="136">
        <v>50</v>
      </c>
      <c r="D44" s="136">
        <v>80</v>
      </c>
      <c r="E44" s="137" t="s">
        <v>912</v>
      </c>
      <c r="F44" s="137" t="s">
        <v>896</v>
      </c>
      <c r="G44" s="137" t="s">
        <v>913</v>
      </c>
      <c r="H44" s="138" t="s">
        <v>898</v>
      </c>
      <c r="I44" s="138" t="s">
        <v>899</v>
      </c>
      <c r="J44" s="138" t="s">
        <v>900</v>
      </c>
      <c r="K44" s="138" t="s">
        <v>950</v>
      </c>
      <c r="L44" s="138" t="s">
        <v>922</v>
      </c>
      <c r="M44" s="138" t="s">
        <v>1001</v>
      </c>
      <c r="N44" s="138" t="s">
        <v>914</v>
      </c>
      <c r="O44" s="138" t="s">
        <v>896</v>
      </c>
      <c r="P44" s="138" t="s">
        <v>915</v>
      </c>
      <c r="Q44" s="138" t="s">
        <v>904</v>
      </c>
      <c r="R44" s="138" t="s">
        <v>896</v>
      </c>
      <c r="S44" s="138" t="s">
        <v>905</v>
      </c>
      <c r="T44" s="138" t="s">
        <v>906</v>
      </c>
      <c r="U44" s="138">
        <v>0</v>
      </c>
      <c r="V44" s="138">
        <v>100</v>
      </c>
      <c r="W44" s="138" t="s">
        <v>1006</v>
      </c>
      <c r="X44" s="139">
        <v>30</v>
      </c>
      <c r="Y44" s="139">
        <v>90</v>
      </c>
    </row>
    <row r="45" spans="1:25">
      <c r="A45" s="134" t="s">
        <v>1016</v>
      </c>
      <c r="B45" s="135" t="s">
        <v>1017</v>
      </c>
      <c r="C45" s="136">
        <v>60</v>
      </c>
      <c r="D45" s="136">
        <v>80</v>
      </c>
      <c r="E45" s="137" t="s">
        <v>912</v>
      </c>
      <c r="F45" s="137" t="s">
        <v>896</v>
      </c>
      <c r="G45" s="137" t="s">
        <v>913</v>
      </c>
      <c r="H45" s="138" t="s">
        <v>898</v>
      </c>
      <c r="I45" s="138" t="s">
        <v>899</v>
      </c>
      <c r="J45" s="138" t="s">
        <v>900</v>
      </c>
      <c r="K45" s="138" t="s">
        <v>1000</v>
      </c>
      <c r="L45" s="138" t="s">
        <v>922</v>
      </c>
      <c r="M45" s="138" t="s">
        <v>1001</v>
      </c>
      <c r="N45" s="138" t="s">
        <v>914</v>
      </c>
      <c r="O45" s="138" t="s">
        <v>896</v>
      </c>
      <c r="P45" s="138" t="s">
        <v>915</v>
      </c>
      <c r="Q45" s="138" t="s">
        <v>914</v>
      </c>
      <c r="R45" s="138" t="s">
        <v>896</v>
      </c>
      <c r="S45" s="138" t="s">
        <v>915</v>
      </c>
      <c r="T45" s="138" t="s">
        <v>906</v>
      </c>
      <c r="U45" s="138">
        <v>0</v>
      </c>
      <c r="V45" s="138">
        <v>100</v>
      </c>
      <c r="W45" s="138" t="s">
        <v>951</v>
      </c>
      <c r="X45" s="139">
        <v>60</v>
      </c>
      <c r="Y45" s="139">
        <v>120</v>
      </c>
    </row>
    <row r="46" spans="1:25">
      <c r="A46" s="134" t="s">
        <v>1018</v>
      </c>
      <c r="B46" s="135" t="s">
        <v>1019</v>
      </c>
      <c r="C46" s="136">
        <v>44</v>
      </c>
      <c r="D46" s="136">
        <v>80</v>
      </c>
      <c r="E46" s="137" t="s">
        <v>912</v>
      </c>
      <c r="F46" s="137" t="s">
        <v>896</v>
      </c>
      <c r="G46" s="137" t="s">
        <v>913</v>
      </c>
      <c r="H46" s="138" t="s">
        <v>898</v>
      </c>
      <c r="I46" s="138" t="s">
        <v>899</v>
      </c>
      <c r="J46" s="138" t="s">
        <v>900</v>
      </c>
      <c r="K46" s="138" t="s">
        <v>1000</v>
      </c>
      <c r="L46" s="138" t="s">
        <v>922</v>
      </c>
      <c r="M46" s="138" t="s">
        <v>1001</v>
      </c>
      <c r="N46" s="138" t="s">
        <v>914</v>
      </c>
      <c r="O46" s="138" t="s">
        <v>896</v>
      </c>
      <c r="P46" s="138" t="s">
        <v>915</v>
      </c>
      <c r="Q46" s="138" t="s">
        <v>914</v>
      </c>
      <c r="R46" s="138" t="s">
        <v>896</v>
      </c>
      <c r="S46" s="138" t="s">
        <v>915</v>
      </c>
      <c r="T46" s="138" t="s">
        <v>906</v>
      </c>
      <c r="U46" s="138">
        <v>0</v>
      </c>
      <c r="V46" s="138">
        <v>100</v>
      </c>
      <c r="W46" s="138" t="s">
        <v>951</v>
      </c>
      <c r="X46" s="139">
        <v>60</v>
      </c>
      <c r="Y46" s="139">
        <v>120</v>
      </c>
    </row>
    <row r="47" spans="1:25">
      <c r="A47" s="134" t="s">
        <v>1020</v>
      </c>
      <c r="B47" s="135" t="s">
        <v>1017</v>
      </c>
      <c r="C47" s="136">
        <v>60</v>
      </c>
      <c r="D47" s="136">
        <v>80</v>
      </c>
      <c r="E47" s="137" t="s">
        <v>912</v>
      </c>
      <c r="F47" s="137" t="s">
        <v>896</v>
      </c>
      <c r="G47" s="137" t="s">
        <v>913</v>
      </c>
      <c r="H47" s="138" t="s">
        <v>898</v>
      </c>
      <c r="I47" s="138" t="s">
        <v>899</v>
      </c>
      <c r="J47" s="138" t="s">
        <v>900</v>
      </c>
      <c r="K47" s="138" t="s">
        <v>1000</v>
      </c>
      <c r="L47" s="138" t="s">
        <v>922</v>
      </c>
      <c r="M47" s="138" t="s">
        <v>1001</v>
      </c>
      <c r="N47" s="138" t="s">
        <v>914</v>
      </c>
      <c r="O47" s="138" t="s">
        <v>896</v>
      </c>
      <c r="P47" s="138" t="s">
        <v>915</v>
      </c>
      <c r="Q47" s="138" t="s">
        <v>914</v>
      </c>
      <c r="R47" s="138" t="s">
        <v>896</v>
      </c>
      <c r="S47" s="138" t="s">
        <v>915</v>
      </c>
      <c r="T47" s="138" t="s">
        <v>906</v>
      </c>
      <c r="U47" s="138">
        <v>0</v>
      </c>
      <c r="V47" s="138">
        <v>100</v>
      </c>
      <c r="W47" s="138" t="s">
        <v>951</v>
      </c>
      <c r="X47" s="139">
        <v>60</v>
      </c>
      <c r="Y47" s="139">
        <v>120</v>
      </c>
    </row>
    <row r="48" spans="1:25">
      <c r="A48" s="134" t="s">
        <v>1021</v>
      </c>
      <c r="B48" s="135" t="s">
        <v>1017</v>
      </c>
      <c r="C48" s="136">
        <v>60</v>
      </c>
      <c r="D48" s="136">
        <v>80</v>
      </c>
      <c r="E48" s="137" t="s">
        <v>912</v>
      </c>
      <c r="F48" s="137" t="s">
        <v>896</v>
      </c>
      <c r="G48" s="137" t="s">
        <v>913</v>
      </c>
      <c r="H48" s="138" t="s">
        <v>898</v>
      </c>
      <c r="I48" s="138" t="s">
        <v>899</v>
      </c>
      <c r="J48" s="138" t="s">
        <v>900</v>
      </c>
      <c r="K48" s="138" t="s">
        <v>1000</v>
      </c>
      <c r="L48" s="138" t="s">
        <v>922</v>
      </c>
      <c r="M48" s="138" t="s">
        <v>1001</v>
      </c>
      <c r="N48" s="138" t="s">
        <v>914</v>
      </c>
      <c r="O48" s="138" t="s">
        <v>896</v>
      </c>
      <c r="P48" s="138" t="s">
        <v>915</v>
      </c>
      <c r="Q48" s="138" t="s">
        <v>914</v>
      </c>
      <c r="R48" s="138" t="s">
        <v>896</v>
      </c>
      <c r="S48" s="138" t="s">
        <v>915</v>
      </c>
      <c r="T48" s="138" t="s">
        <v>906</v>
      </c>
      <c r="U48" s="138">
        <v>0</v>
      </c>
      <c r="V48" s="138">
        <v>100</v>
      </c>
      <c r="W48" s="138" t="s">
        <v>951</v>
      </c>
      <c r="X48" s="139">
        <v>60</v>
      </c>
      <c r="Y48" s="139">
        <v>120</v>
      </c>
    </row>
    <row r="49" spans="1:25">
      <c r="A49" s="134" t="s">
        <v>1022</v>
      </c>
      <c r="B49" s="135" t="s">
        <v>1017</v>
      </c>
      <c r="C49" s="136">
        <v>60</v>
      </c>
      <c r="D49" s="136">
        <v>80</v>
      </c>
      <c r="E49" s="137" t="s">
        <v>912</v>
      </c>
      <c r="F49" s="137" t="s">
        <v>896</v>
      </c>
      <c r="G49" s="137" t="s">
        <v>913</v>
      </c>
      <c r="H49" s="138" t="s">
        <v>898</v>
      </c>
      <c r="I49" s="138" t="s">
        <v>899</v>
      </c>
      <c r="J49" s="138" t="s">
        <v>900</v>
      </c>
      <c r="K49" s="138" t="s">
        <v>1023</v>
      </c>
      <c r="L49" s="138" t="s">
        <v>933</v>
      </c>
      <c r="M49" s="138" t="s">
        <v>960</v>
      </c>
      <c r="N49" s="138" t="s">
        <v>914</v>
      </c>
      <c r="O49" s="138" t="s">
        <v>896</v>
      </c>
      <c r="P49" s="138" t="s">
        <v>915</v>
      </c>
      <c r="Q49" s="138" t="s">
        <v>914</v>
      </c>
      <c r="R49" s="138" t="s">
        <v>896</v>
      </c>
      <c r="S49" s="138" t="s">
        <v>915</v>
      </c>
      <c r="T49" s="138" t="s">
        <v>906</v>
      </c>
      <c r="U49" s="138">
        <v>0</v>
      </c>
      <c r="V49" s="138">
        <v>100</v>
      </c>
      <c r="W49" s="138" t="s">
        <v>1023</v>
      </c>
      <c r="X49" s="139">
        <v>120</v>
      </c>
      <c r="Y49" s="139">
        <v>200</v>
      </c>
    </row>
    <row r="50" spans="1:25">
      <c r="A50" s="134" t="s">
        <v>1024</v>
      </c>
      <c r="B50" s="135" t="s">
        <v>1025</v>
      </c>
      <c r="C50" s="136">
        <v>16</v>
      </c>
      <c r="D50" s="136">
        <v>28</v>
      </c>
      <c r="E50" s="137" t="s">
        <v>914</v>
      </c>
      <c r="F50" s="137" t="s">
        <v>896</v>
      </c>
      <c r="G50" s="137" t="s">
        <v>915</v>
      </c>
      <c r="H50" s="138" t="s">
        <v>898</v>
      </c>
      <c r="I50" s="138" t="s">
        <v>899</v>
      </c>
      <c r="J50" s="138" t="s">
        <v>900</v>
      </c>
      <c r="K50" s="138" t="s">
        <v>932</v>
      </c>
      <c r="L50" s="138" t="s">
        <v>902</v>
      </c>
      <c r="M50" s="138" t="s">
        <v>933</v>
      </c>
      <c r="N50" s="138" t="s">
        <v>966</v>
      </c>
      <c r="O50" s="138" t="s">
        <v>905</v>
      </c>
      <c r="P50" s="138" t="s">
        <v>967</v>
      </c>
      <c r="Q50" s="138" t="s">
        <v>904</v>
      </c>
      <c r="R50" s="138" t="s">
        <v>896</v>
      </c>
      <c r="S50" s="138" t="s">
        <v>905</v>
      </c>
      <c r="T50" s="138" t="s">
        <v>906</v>
      </c>
      <c r="U50" s="138">
        <v>0</v>
      </c>
      <c r="V50" s="138">
        <v>100</v>
      </c>
      <c r="W50" s="138" t="s">
        <v>935</v>
      </c>
      <c r="X50" s="139">
        <v>0</v>
      </c>
      <c r="Y50" s="139">
        <v>60</v>
      </c>
    </row>
    <row r="51" spans="1:25">
      <c r="A51" s="134" t="s">
        <v>1026</v>
      </c>
      <c r="B51" s="135" t="s">
        <v>1027</v>
      </c>
      <c r="C51" s="136">
        <v>12</v>
      </c>
      <c r="D51" s="136">
        <v>30</v>
      </c>
      <c r="E51" s="137" t="s">
        <v>914</v>
      </c>
      <c r="F51" s="137" t="s">
        <v>896</v>
      </c>
      <c r="G51" s="137" t="s">
        <v>915</v>
      </c>
      <c r="H51" s="138" t="s">
        <v>898</v>
      </c>
      <c r="I51" s="138" t="s">
        <v>899</v>
      </c>
      <c r="J51" s="138" t="s">
        <v>900</v>
      </c>
      <c r="K51" s="138" t="s">
        <v>932</v>
      </c>
      <c r="L51" s="138" t="s">
        <v>902</v>
      </c>
      <c r="M51" s="138" t="s">
        <v>933</v>
      </c>
      <c r="N51" s="138" t="s">
        <v>991</v>
      </c>
      <c r="O51" s="138" t="s">
        <v>905</v>
      </c>
      <c r="P51" s="138" t="s">
        <v>992</v>
      </c>
      <c r="Q51" s="138" t="s">
        <v>934</v>
      </c>
      <c r="R51" s="138" t="s">
        <v>899</v>
      </c>
      <c r="S51" s="138" t="s">
        <v>905</v>
      </c>
      <c r="T51" s="138" t="s">
        <v>906</v>
      </c>
      <c r="U51" s="138">
        <v>0</v>
      </c>
      <c r="V51" s="138">
        <v>100</v>
      </c>
      <c r="W51" s="138" t="s">
        <v>923</v>
      </c>
      <c r="X51" s="139">
        <v>-30</v>
      </c>
      <c r="Y51" s="139">
        <v>30</v>
      </c>
    </row>
    <row r="52" spans="1:25">
      <c r="A52" s="134" t="s">
        <v>1028</v>
      </c>
      <c r="B52" s="135" t="s">
        <v>1029</v>
      </c>
      <c r="C52" s="136">
        <v>16</v>
      </c>
      <c r="D52" s="136">
        <v>30</v>
      </c>
      <c r="E52" s="137" t="s">
        <v>914</v>
      </c>
      <c r="F52" s="137" t="s">
        <v>896</v>
      </c>
      <c r="G52" s="137" t="s">
        <v>915</v>
      </c>
      <c r="H52" s="138" t="s">
        <v>898</v>
      </c>
      <c r="I52" s="138" t="s">
        <v>899</v>
      </c>
      <c r="J52" s="138" t="s">
        <v>900</v>
      </c>
      <c r="K52" s="138" t="s">
        <v>932</v>
      </c>
      <c r="L52" s="138" t="s">
        <v>902</v>
      </c>
      <c r="M52" s="138" t="s">
        <v>933</v>
      </c>
      <c r="N52" s="138" t="s">
        <v>991</v>
      </c>
      <c r="O52" s="138" t="s">
        <v>905</v>
      </c>
      <c r="P52" s="138" t="s">
        <v>992</v>
      </c>
      <c r="Q52" s="138" t="s">
        <v>934</v>
      </c>
      <c r="R52" s="138" t="s">
        <v>899</v>
      </c>
      <c r="S52" s="138" t="s">
        <v>905</v>
      </c>
      <c r="T52" s="138" t="s">
        <v>906</v>
      </c>
      <c r="U52" s="138">
        <v>0</v>
      </c>
      <c r="V52" s="138">
        <v>100</v>
      </c>
      <c r="W52" s="138" t="s">
        <v>923</v>
      </c>
      <c r="X52" s="139">
        <v>-30</v>
      </c>
      <c r="Y52" s="139">
        <v>30</v>
      </c>
    </row>
    <row r="53" spans="1:25">
      <c r="A53" s="134" t="s">
        <v>1030</v>
      </c>
      <c r="B53" s="135" t="s">
        <v>1031</v>
      </c>
      <c r="C53" s="136">
        <v>4</v>
      </c>
      <c r="D53" s="136">
        <v>16</v>
      </c>
      <c r="E53" s="137" t="s">
        <v>904</v>
      </c>
      <c r="F53" s="137" t="s">
        <v>896</v>
      </c>
      <c r="G53" s="137" t="s">
        <v>905</v>
      </c>
      <c r="H53" s="138" t="s">
        <v>898</v>
      </c>
      <c r="I53" s="138" t="s">
        <v>899</v>
      </c>
      <c r="J53" s="138" t="s">
        <v>900</v>
      </c>
      <c r="K53" s="138" t="s">
        <v>956</v>
      </c>
      <c r="L53" s="138" t="s">
        <v>899</v>
      </c>
      <c r="M53" s="138" t="s">
        <v>922</v>
      </c>
      <c r="N53" s="138" t="s">
        <v>903</v>
      </c>
      <c r="O53" s="138" t="s">
        <v>899</v>
      </c>
      <c r="P53" s="138" t="s">
        <v>896</v>
      </c>
      <c r="Q53" s="138" t="s">
        <v>934</v>
      </c>
      <c r="R53" s="138" t="s">
        <v>899</v>
      </c>
      <c r="S53" s="138" t="s">
        <v>905</v>
      </c>
      <c r="T53" s="138" t="s">
        <v>906</v>
      </c>
      <c r="U53" s="138">
        <v>0</v>
      </c>
      <c r="V53" s="138">
        <v>100</v>
      </c>
      <c r="W53" s="138" t="s">
        <v>957</v>
      </c>
      <c r="X53" s="139">
        <v>-30</v>
      </c>
      <c r="Y53" s="139">
        <v>0</v>
      </c>
    </row>
    <row r="54" spans="1:25">
      <c r="A54" s="134" t="s">
        <v>1032</v>
      </c>
      <c r="B54" s="135" t="s">
        <v>1033</v>
      </c>
      <c r="C54" s="136">
        <v>28</v>
      </c>
      <c r="D54" s="136">
        <v>46</v>
      </c>
      <c r="E54" s="137" t="s">
        <v>912</v>
      </c>
      <c r="F54" s="137" t="s">
        <v>896</v>
      </c>
      <c r="G54" s="137" t="s">
        <v>913</v>
      </c>
      <c r="H54" s="138" t="s">
        <v>898</v>
      </c>
      <c r="I54" s="138" t="s">
        <v>899</v>
      </c>
      <c r="J54" s="138" t="s">
        <v>900</v>
      </c>
      <c r="K54" s="138" t="s">
        <v>1000</v>
      </c>
      <c r="L54" s="138" t="s">
        <v>922</v>
      </c>
      <c r="M54" s="138" t="s">
        <v>1001</v>
      </c>
      <c r="N54" s="138" t="s">
        <v>914</v>
      </c>
      <c r="O54" s="138" t="s">
        <v>896</v>
      </c>
      <c r="P54" s="138" t="s">
        <v>915</v>
      </c>
      <c r="Q54" s="138" t="s">
        <v>914</v>
      </c>
      <c r="R54" s="138" t="s">
        <v>896</v>
      </c>
      <c r="S54" s="138" t="s">
        <v>915</v>
      </c>
      <c r="T54" s="138" t="s">
        <v>906</v>
      </c>
      <c r="U54" s="138">
        <v>0</v>
      </c>
      <c r="V54" s="138">
        <v>100</v>
      </c>
      <c r="W54" s="138" t="s">
        <v>951</v>
      </c>
      <c r="X54" s="139">
        <v>60</v>
      </c>
      <c r="Y54" s="139">
        <v>120</v>
      </c>
    </row>
    <row r="55" spans="1:25">
      <c r="A55" s="134" t="s">
        <v>1034</v>
      </c>
      <c r="B55" s="135" t="s">
        <v>1003</v>
      </c>
      <c r="C55" s="136">
        <v>24</v>
      </c>
      <c r="D55" s="136">
        <v>50</v>
      </c>
      <c r="E55" s="137" t="s">
        <v>912</v>
      </c>
      <c r="F55" s="137" t="s">
        <v>896</v>
      </c>
      <c r="G55" s="137" t="s">
        <v>913</v>
      </c>
      <c r="H55" s="138" t="s">
        <v>898</v>
      </c>
      <c r="I55" s="138" t="s">
        <v>899</v>
      </c>
      <c r="J55" s="138" t="s">
        <v>900</v>
      </c>
      <c r="K55" s="138" t="s">
        <v>1023</v>
      </c>
      <c r="L55" s="138">
        <v>120</v>
      </c>
      <c r="M55" s="138" t="s">
        <v>960</v>
      </c>
      <c r="N55" s="138" t="s">
        <v>914</v>
      </c>
      <c r="O55" s="138" t="s">
        <v>896</v>
      </c>
      <c r="P55" s="138" t="s">
        <v>915</v>
      </c>
      <c r="Q55" s="138" t="s">
        <v>914</v>
      </c>
      <c r="R55" s="138" t="s">
        <v>896</v>
      </c>
      <c r="S55" s="138" t="s">
        <v>915</v>
      </c>
      <c r="T55" s="138" t="s">
        <v>906</v>
      </c>
      <c r="U55" s="138">
        <v>0</v>
      </c>
      <c r="V55" s="138">
        <v>100</v>
      </c>
      <c r="W55" s="138" t="s">
        <v>1023</v>
      </c>
      <c r="X55" s="139">
        <v>120</v>
      </c>
      <c r="Y55" s="139">
        <v>200</v>
      </c>
    </row>
    <row r="56" spans="1:25">
      <c r="A56" s="134" t="s">
        <v>1035</v>
      </c>
      <c r="B56" s="135" t="s">
        <v>1036</v>
      </c>
      <c r="C56" s="136">
        <v>28</v>
      </c>
      <c r="D56" s="136">
        <v>38</v>
      </c>
      <c r="E56" s="137" t="s">
        <v>914</v>
      </c>
      <c r="F56" s="137" t="s">
        <v>896</v>
      </c>
      <c r="G56" s="137" t="s">
        <v>915</v>
      </c>
      <c r="H56" s="138" t="s">
        <v>898</v>
      </c>
      <c r="I56" s="138" t="s">
        <v>899</v>
      </c>
      <c r="J56" s="138" t="s">
        <v>900</v>
      </c>
      <c r="K56" s="138" t="s">
        <v>932</v>
      </c>
      <c r="L56" s="138" t="s">
        <v>902</v>
      </c>
      <c r="M56" s="138" t="s">
        <v>933</v>
      </c>
      <c r="N56" s="138" t="s">
        <v>966</v>
      </c>
      <c r="O56" s="138" t="s">
        <v>905</v>
      </c>
      <c r="P56" s="138" t="s">
        <v>967</v>
      </c>
      <c r="Q56" s="138" t="s">
        <v>904</v>
      </c>
      <c r="R56" s="138" t="s">
        <v>896</v>
      </c>
      <c r="S56" s="138" t="s">
        <v>905</v>
      </c>
      <c r="T56" s="138" t="s">
        <v>906</v>
      </c>
      <c r="U56" s="138">
        <v>0</v>
      </c>
      <c r="V56" s="138">
        <v>100</v>
      </c>
      <c r="W56" s="138" t="s">
        <v>935</v>
      </c>
      <c r="X56" s="139">
        <v>0</v>
      </c>
      <c r="Y56" s="139">
        <v>60</v>
      </c>
    </row>
    <row r="57" spans="1:25">
      <c r="A57" s="134" t="s">
        <v>1037</v>
      </c>
      <c r="B57" s="135" t="s">
        <v>909</v>
      </c>
      <c r="C57" s="136">
        <v>4</v>
      </c>
      <c r="D57" s="136">
        <v>8</v>
      </c>
      <c r="E57" s="137" t="s">
        <v>904</v>
      </c>
      <c r="F57" s="137" t="s">
        <v>896</v>
      </c>
      <c r="G57" s="137" t="s">
        <v>905</v>
      </c>
      <c r="H57" s="138" t="s">
        <v>898</v>
      </c>
      <c r="I57" s="138" t="s">
        <v>899</v>
      </c>
      <c r="J57" s="138" t="s">
        <v>900</v>
      </c>
      <c r="K57" s="138" t="s">
        <v>956</v>
      </c>
      <c r="L57" s="138" t="s">
        <v>899</v>
      </c>
      <c r="M57" s="138" t="s">
        <v>922</v>
      </c>
      <c r="N57" s="138" t="s">
        <v>903</v>
      </c>
      <c r="O57" s="138" t="s">
        <v>899</v>
      </c>
      <c r="P57" s="138" t="s">
        <v>896</v>
      </c>
      <c r="Q57" s="138" t="s">
        <v>934</v>
      </c>
      <c r="R57" s="138" t="s">
        <v>899</v>
      </c>
      <c r="S57" s="138" t="s">
        <v>905</v>
      </c>
      <c r="T57" s="138" t="s">
        <v>906</v>
      </c>
      <c r="U57" s="138">
        <v>0</v>
      </c>
      <c r="V57" s="138">
        <v>100</v>
      </c>
      <c r="W57" s="138" t="s">
        <v>957</v>
      </c>
      <c r="X57" s="139">
        <v>-30</v>
      </c>
      <c r="Y57" s="139">
        <v>0</v>
      </c>
    </row>
    <row r="58" spans="1:25">
      <c r="A58" s="134" t="s">
        <v>1038</v>
      </c>
      <c r="B58" s="135" t="s">
        <v>1025</v>
      </c>
      <c r="C58" s="136">
        <v>16</v>
      </c>
      <c r="D58" s="136">
        <v>28</v>
      </c>
      <c r="E58" s="137" t="s">
        <v>914</v>
      </c>
      <c r="F58" s="137" t="s">
        <v>896</v>
      </c>
      <c r="G58" s="137" t="s">
        <v>915</v>
      </c>
      <c r="H58" s="138" t="s">
        <v>898</v>
      </c>
      <c r="I58" s="138" t="s">
        <v>899</v>
      </c>
      <c r="J58" s="138" t="s">
        <v>900</v>
      </c>
      <c r="K58" s="138" t="s">
        <v>932</v>
      </c>
      <c r="L58" s="138" t="s">
        <v>902</v>
      </c>
      <c r="M58" s="138" t="s">
        <v>933</v>
      </c>
      <c r="N58" s="138" t="s">
        <v>966</v>
      </c>
      <c r="O58" s="138" t="s">
        <v>905</v>
      </c>
      <c r="P58" s="138" t="s">
        <v>967</v>
      </c>
      <c r="Q58" s="138" t="s">
        <v>904</v>
      </c>
      <c r="R58" s="138" t="s">
        <v>896</v>
      </c>
      <c r="S58" s="138" t="s">
        <v>905</v>
      </c>
      <c r="T58" s="138" t="s">
        <v>906</v>
      </c>
      <c r="U58" s="138">
        <v>0</v>
      </c>
      <c r="V58" s="138">
        <v>100</v>
      </c>
      <c r="W58" s="138" t="s">
        <v>935</v>
      </c>
      <c r="X58" s="139">
        <v>0</v>
      </c>
      <c r="Y58" s="139">
        <v>60</v>
      </c>
    </row>
    <row r="59" spans="1:25">
      <c r="A59" s="134" t="s">
        <v>1039</v>
      </c>
      <c r="B59" s="135" t="s">
        <v>987</v>
      </c>
      <c r="C59" s="136">
        <v>10</v>
      </c>
      <c r="D59" s="136">
        <v>28</v>
      </c>
      <c r="E59" s="137" t="s">
        <v>914</v>
      </c>
      <c r="F59" s="137" t="s">
        <v>896</v>
      </c>
      <c r="G59" s="137" t="s">
        <v>915</v>
      </c>
      <c r="H59" s="138" t="s">
        <v>989</v>
      </c>
      <c r="I59" s="138" t="s">
        <v>899</v>
      </c>
      <c r="J59" s="138" t="s">
        <v>900</v>
      </c>
      <c r="K59" s="138" t="s">
        <v>932</v>
      </c>
      <c r="L59" s="138" t="s">
        <v>902</v>
      </c>
      <c r="M59" s="138" t="s">
        <v>933</v>
      </c>
      <c r="N59" s="138" t="s">
        <v>991</v>
      </c>
      <c r="O59" s="138" t="s">
        <v>905</v>
      </c>
      <c r="P59" s="138" t="s">
        <v>992</v>
      </c>
      <c r="Q59" s="138" t="s">
        <v>934</v>
      </c>
      <c r="R59" s="138" t="s">
        <v>899</v>
      </c>
      <c r="S59" s="138" t="s">
        <v>905</v>
      </c>
      <c r="T59" s="138" t="s">
        <v>906</v>
      </c>
      <c r="U59" s="138">
        <v>0</v>
      </c>
      <c r="V59" s="138">
        <v>100</v>
      </c>
      <c r="W59" s="138" t="s">
        <v>923</v>
      </c>
      <c r="X59" s="139">
        <v>-30</v>
      </c>
      <c r="Y59" s="139">
        <v>30</v>
      </c>
    </row>
    <row r="60" spans="1:25">
      <c r="A60" s="134" t="s">
        <v>1040</v>
      </c>
      <c r="B60" s="135" t="s">
        <v>1041</v>
      </c>
      <c r="C60" s="136">
        <v>12</v>
      </c>
      <c r="D60" s="136">
        <v>38</v>
      </c>
      <c r="E60" s="137" t="s">
        <v>904</v>
      </c>
      <c r="F60" s="137" t="s">
        <v>896</v>
      </c>
      <c r="G60" s="137" t="s">
        <v>905</v>
      </c>
      <c r="H60" s="138" t="s">
        <v>898</v>
      </c>
      <c r="I60" s="138" t="s">
        <v>899</v>
      </c>
      <c r="J60" s="138" t="s">
        <v>900</v>
      </c>
      <c r="K60" s="138" t="s">
        <v>932</v>
      </c>
      <c r="L60" s="138" t="s">
        <v>902</v>
      </c>
      <c r="M60" s="138" t="s">
        <v>933</v>
      </c>
      <c r="N60" s="138" t="s">
        <v>904</v>
      </c>
      <c r="O60" s="138" t="s">
        <v>896</v>
      </c>
      <c r="P60" s="138" t="s">
        <v>905</v>
      </c>
      <c r="Q60" s="138" t="s">
        <v>914</v>
      </c>
      <c r="R60" s="138" t="s">
        <v>896</v>
      </c>
      <c r="S60" s="138" t="s">
        <v>915</v>
      </c>
      <c r="T60" s="138" t="s">
        <v>906</v>
      </c>
      <c r="U60" s="138">
        <v>0</v>
      </c>
      <c r="V60" s="138">
        <v>100</v>
      </c>
      <c r="W60" s="138" t="s">
        <v>935</v>
      </c>
      <c r="X60" s="139">
        <v>0</v>
      </c>
      <c r="Y60" s="139">
        <v>60</v>
      </c>
    </row>
    <row r="61" spans="1:25">
      <c r="A61" s="134" t="s">
        <v>1042</v>
      </c>
      <c r="B61" s="135" t="s">
        <v>894</v>
      </c>
      <c r="C61" s="136">
        <v>4</v>
      </c>
      <c r="D61" s="136">
        <v>6</v>
      </c>
      <c r="E61" s="137" t="s">
        <v>904</v>
      </c>
      <c r="F61" s="137" t="s">
        <v>896</v>
      </c>
      <c r="G61" s="137" t="s">
        <v>905</v>
      </c>
      <c r="H61" s="138" t="s">
        <v>898</v>
      </c>
      <c r="I61" s="138" t="s">
        <v>899</v>
      </c>
      <c r="J61" s="138" t="s">
        <v>900</v>
      </c>
      <c r="K61" s="138" t="s">
        <v>956</v>
      </c>
      <c r="L61" s="138" t="s">
        <v>899</v>
      </c>
      <c r="M61" s="138" t="s">
        <v>922</v>
      </c>
      <c r="N61" s="138" t="s">
        <v>903</v>
      </c>
      <c r="O61" s="138" t="s">
        <v>899</v>
      </c>
      <c r="P61" s="138" t="s">
        <v>896</v>
      </c>
      <c r="Q61" s="138" t="s">
        <v>934</v>
      </c>
      <c r="R61" s="138" t="s">
        <v>899</v>
      </c>
      <c r="S61" s="138" t="s">
        <v>905</v>
      </c>
      <c r="T61" s="138" t="s">
        <v>906</v>
      </c>
      <c r="U61" s="138">
        <v>0</v>
      </c>
      <c r="V61" s="138">
        <v>100</v>
      </c>
      <c r="W61" s="138" t="s">
        <v>1043</v>
      </c>
      <c r="X61" s="139">
        <v>-100</v>
      </c>
      <c r="Y61" s="139">
        <v>-30</v>
      </c>
    </row>
    <row r="62" spans="1:25">
      <c r="A62" s="134" t="s">
        <v>1044</v>
      </c>
      <c r="B62" s="135" t="s">
        <v>931</v>
      </c>
      <c r="C62" s="136">
        <v>20</v>
      </c>
      <c r="D62" s="136">
        <v>32</v>
      </c>
      <c r="E62" s="137" t="s">
        <v>904</v>
      </c>
      <c r="F62" s="137" t="s">
        <v>896</v>
      </c>
      <c r="G62" s="137" t="s">
        <v>905</v>
      </c>
      <c r="H62" s="138" t="s">
        <v>898</v>
      </c>
      <c r="I62" s="138" t="s">
        <v>899</v>
      </c>
      <c r="J62" s="138" t="s">
        <v>900</v>
      </c>
      <c r="K62" s="138" t="s">
        <v>1045</v>
      </c>
      <c r="L62" s="138" t="s">
        <v>899</v>
      </c>
      <c r="M62" s="138">
        <v>120</v>
      </c>
      <c r="N62" s="138" t="s">
        <v>903</v>
      </c>
      <c r="O62" s="138" t="s">
        <v>899</v>
      </c>
      <c r="P62" s="138" t="s">
        <v>896</v>
      </c>
      <c r="Q62" s="138" t="s">
        <v>934</v>
      </c>
      <c r="R62" s="138" t="s">
        <v>899</v>
      </c>
      <c r="S62" s="138" t="s">
        <v>905</v>
      </c>
      <c r="T62" s="138" t="s">
        <v>906</v>
      </c>
      <c r="U62" s="138">
        <v>0</v>
      </c>
      <c r="V62" s="138">
        <v>100</v>
      </c>
      <c r="W62" s="138" t="s">
        <v>935</v>
      </c>
      <c r="X62" s="139">
        <v>0</v>
      </c>
      <c r="Y62" s="139">
        <v>60</v>
      </c>
    </row>
    <row r="63" spans="1:25">
      <c r="A63" s="134" t="s">
        <v>1046</v>
      </c>
      <c r="B63" s="135" t="s">
        <v>1047</v>
      </c>
      <c r="C63" s="136">
        <v>30</v>
      </c>
      <c r="D63" s="136">
        <v>44</v>
      </c>
      <c r="E63" s="137" t="s">
        <v>904</v>
      </c>
      <c r="F63" s="137" t="s">
        <v>896</v>
      </c>
      <c r="G63" s="137" t="s">
        <v>905</v>
      </c>
      <c r="H63" s="138" t="s">
        <v>898</v>
      </c>
      <c r="I63" s="138" t="s">
        <v>899</v>
      </c>
      <c r="J63" s="138" t="s">
        <v>900</v>
      </c>
      <c r="K63" s="138" t="s">
        <v>934</v>
      </c>
      <c r="L63" s="138" t="s">
        <v>899</v>
      </c>
      <c r="M63" s="138">
        <v>100</v>
      </c>
      <c r="N63" s="138" t="s">
        <v>903</v>
      </c>
      <c r="O63" s="138" t="s">
        <v>899</v>
      </c>
      <c r="P63" s="138" t="s">
        <v>896</v>
      </c>
      <c r="Q63" s="138" t="s">
        <v>934</v>
      </c>
      <c r="R63" s="138" t="s">
        <v>899</v>
      </c>
      <c r="S63" s="138" t="s">
        <v>905</v>
      </c>
      <c r="T63" s="138" t="s">
        <v>906</v>
      </c>
      <c r="U63" s="138">
        <v>0</v>
      </c>
      <c r="V63" s="138">
        <v>100</v>
      </c>
      <c r="W63" s="138" t="s">
        <v>935</v>
      </c>
      <c r="X63" s="139">
        <v>0</v>
      </c>
      <c r="Y63" s="139">
        <v>60</v>
      </c>
    </row>
    <row r="64" spans="1:25">
      <c r="A64" s="134" t="s">
        <v>1048</v>
      </c>
      <c r="B64" s="135" t="s">
        <v>1049</v>
      </c>
      <c r="C64" s="136">
        <v>6</v>
      </c>
      <c r="D64" s="136">
        <v>14</v>
      </c>
      <c r="E64" s="137" t="s">
        <v>904</v>
      </c>
      <c r="F64" s="137" t="s">
        <v>896</v>
      </c>
      <c r="G64" s="137" t="s">
        <v>905</v>
      </c>
      <c r="H64" s="138" t="s">
        <v>898</v>
      </c>
      <c r="I64" s="138" t="s">
        <v>899</v>
      </c>
      <c r="J64" s="138" t="s">
        <v>900</v>
      </c>
      <c r="K64" s="138" t="s">
        <v>956</v>
      </c>
      <c r="L64" s="138" t="s">
        <v>899</v>
      </c>
      <c r="M64" s="138" t="s">
        <v>922</v>
      </c>
      <c r="N64" s="138" t="s">
        <v>903</v>
      </c>
      <c r="O64" s="138" t="s">
        <v>899</v>
      </c>
      <c r="P64" s="138" t="s">
        <v>896</v>
      </c>
      <c r="Q64" s="138" t="s">
        <v>934</v>
      </c>
      <c r="R64" s="138" t="s">
        <v>899</v>
      </c>
      <c r="S64" s="138" t="s">
        <v>905</v>
      </c>
      <c r="T64" s="138" t="s">
        <v>906</v>
      </c>
      <c r="U64" s="138">
        <v>0</v>
      </c>
      <c r="V64" s="138">
        <v>100</v>
      </c>
      <c r="W64" s="138" t="s">
        <v>1043</v>
      </c>
      <c r="X64" s="139">
        <v>-100</v>
      </c>
      <c r="Y64" s="139">
        <v>-30</v>
      </c>
    </row>
    <row r="65" spans="1:25">
      <c r="A65" s="134" t="s">
        <v>1050</v>
      </c>
      <c r="B65" s="135" t="s">
        <v>1049</v>
      </c>
      <c r="C65" s="136">
        <v>6</v>
      </c>
      <c r="D65" s="136">
        <v>14</v>
      </c>
      <c r="E65" s="137" t="s">
        <v>904</v>
      </c>
      <c r="F65" s="137" t="s">
        <v>896</v>
      </c>
      <c r="G65" s="137" t="s">
        <v>905</v>
      </c>
      <c r="H65" s="138" t="s">
        <v>898</v>
      </c>
      <c r="I65" s="138" t="s">
        <v>899</v>
      </c>
      <c r="J65" s="138" t="s">
        <v>900</v>
      </c>
      <c r="K65" s="138" t="s">
        <v>956</v>
      </c>
      <c r="L65" s="138" t="s">
        <v>899</v>
      </c>
      <c r="M65" s="138" t="s">
        <v>922</v>
      </c>
      <c r="N65" s="138" t="s">
        <v>903</v>
      </c>
      <c r="O65" s="138" t="s">
        <v>899</v>
      </c>
      <c r="P65" s="138" t="s">
        <v>896</v>
      </c>
      <c r="Q65" s="138" t="s">
        <v>934</v>
      </c>
      <c r="R65" s="138" t="s">
        <v>899</v>
      </c>
      <c r="S65" s="138" t="s">
        <v>905</v>
      </c>
      <c r="T65" s="138" t="s">
        <v>906</v>
      </c>
      <c r="U65" s="138">
        <v>0</v>
      </c>
      <c r="V65" s="138">
        <v>100</v>
      </c>
      <c r="W65" s="138" t="s">
        <v>1043</v>
      </c>
      <c r="X65" s="139">
        <v>-100</v>
      </c>
      <c r="Y65" s="139">
        <v>-30</v>
      </c>
    </row>
    <row r="66" spans="1:25">
      <c r="A66" s="134" t="s">
        <v>1051</v>
      </c>
      <c r="B66" s="135" t="s">
        <v>1049</v>
      </c>
      <c r="C66" s="136">
        <v>6</v>
      </c>
      <c r="D66" s="136">
        <v>14</v>
      </c>
      <c r="E66" s="137" t="s">
        <v>904</v>
      </c>
      <c r="F66" s="137" t="s">
        <v>896</v>
      </c>
      <c r="G66" s="137" t="s">
        <v>905</v>
      </c>
      <c r="H66" s="138" t="s">
        <v>898</v>
      </c>
      <c r="I66" s="138" t="s">
        <v>899</v>
      </c>
      <c r="J66" s="138" t="s">
        <v>900</v>
      </c>
      <c r="K66" s="138" t="s">
        <v>956</v>
      </c>
      <c r="L66" s="138" t="s">
        <v>899</v>
      </c>
      <c r="M66" s="138" t="s">
        <v>922</v>
      </c>
      <c r="N66" s="138" t="s">
        <v>903</v>
      </c>
      <c r="O66" s="138" t="s">
        <v>899</v>
      </c>
      <c r="P66" s="138" t="s">
        <v>896</v>
      </c>
      <c r="Q66" s="138" t="s">
        <v>934</v>
      </c>
      <c r="R66" s="138" t="s">
        <v>899</v>
      </c>
      <c r="S66" s="138" t="s">
        <v>905</v>
      </c>
      <c r="T66" s="138" t="s">
        <v>906</v>
      </c>
      <c r="U66" s="138">
        <v>0</v>
      </c>
      <c r="V66" s="138">
        <v>100</v>
      </c>
      <c r="W66" s="138" t="s">
        <v>1043</v>
      </c>
      <c r="X66" s="139">
        <v>-100</v>
      </c>
      <c r="Y66" s="139">
        <v>-30</v>
      </c>
    </row>
    <row r="67" spans="1:25">
      <c r="A67" s="134" t="s">
        <v>1052</v>
      </c>
      <c r="B67" s="135" t="s">
        <v>1053</v>
      </c>
      <c r="C67" s="136">
        <v>8</v>
      </c>
      <c r="D67" s="136">
        <v>14</v>
      </c>
      <c r="E67" s="137" t="s">
        <v>904</v>
      </c>
      <c r="F67" s="137" t="s">
        <v>896</v>
      </c>
      <c r="G67" s="137" t="s">
        <v>905</v>
      </c>
      <c r="H67" s="138" t="s">
        <v>898</v>
      </c>
      <c r="I67" s="138" t="s">
        <v>899</v>
      </c>
      <c r="J67" s="138" t="s">
        <v>900</v>
      </c>
      <c r="K67" s="138" t="s">
        <v>956</v>
      </c>
      <c r="L67" s="138" t="s">
        <v>899</v>
      </c>
      <c r="M67" s="138" t="s">
        <v>922</v>
      </c>
      <c r="N67" s="138" t="s">
        <v>903</v>
      </c>
      <c r="O67" s="138" t="s">
        <v>899</v>
      </c>
      <c r="P67" s="138" t="s">
        <v>896</v>
      </c>
      <c r="Q67" s="138" t="s">
        <v>934</v>
      </c>
      <c r="R67" s="138" t="s">
        <v>899</v>
      </c>
      <c r="S67" s="138" t="s">
        <v>905</v>
      </c>
      <c r="T67" s="138" t="s">
        <v>906</v>
      </c>
      <c r="U67" s="138">
        <v>0</v>
      </c>
      <c r="V67" s="138">
        <v>100</v>
      </c>
      <c r="W67" s="138" t="s">
        <v>957</v>
      </c>
      <c r="X67" s="139">
        <v>-30</v>
      </c>
      <c r="Y67" s="139">
        <v>0</v>
      </c>
    </row>
    <row r="68" spans="1:25">
      <c r="A68" s="134" t="s">
        <v>1054</v>
      </c>
      <c r="B68" s="135" t="s">
        <v>994</v>
      </c>
      <c r="C68" s="136">
        <v>20</v>
      </c>
      <c r="D68" s="136">
        <v>34</v>
      </c>
      <c r="E68" s="137" t="s">
        <v>904</v>
      </c>
      <c r="F68" s="137" t="s">
        <v>896</v>
      </c>
      <c r="G68" s="137" t="s">
        <v>905</v>
      </c>
      <c r="H68" s="138" t="s">
        <v>898</v>
      </c>
      <c r="I68" s="138" t="s">
        <v>899</v>
      </c>
      <c r="J68" s="138" t="s">
        <v>900</v>
      </c>
      <c r="K68" s="138" t="s">
        <v>932</v>
      </c>
      <c r="L68" s="138" t="s">
        <v>902</v>
      </c>
      <c r="M68" s="138" t="s">
        <v>933</v>
      </c>
      <c r="N68" s="138" t="s">
        <v>904</v>
      </c>
      <c r="O68" s="138" t="s">
        <v>896</v>
      </c>
      <c r="P68" s="138" t="s">
        <v>905</v>
      </c>
      <c r="Q68" s="138" t="s">
        <v>914</v>
      </c>
      <c r="R68" s="138" t="s">
        <v>896</v>
      </c>
      <c r="S68" s="138" t="s">
        <v>915</v>
      </c>
      <c r="T68" s="138" t="s">
        <v>906</v>
      </c>
      <c r="U68" s="138">
        <v>0</v>
      </c>
      <c r="V68" s="138">
        <v>100</v>
      </c>
      <c r="W68" s="138" t="s">
        <v>935</v>
      </c>
      <c r="X68" s="139">
        <v>0</v>
      </c>
      <c r="Y68" s="139">
        <v>60</v>
      </c>
    </row>
    <row r="69" spans="1:25">
      <c r="A69" s="134" t="s">
        <v>1055</v>
      </c>
      <c r="B69" s="135" t="s">
        <v>1056</v>
      </c>
      <c r="C69" s="136">
        <v>9</v>
      </c>
      <c r="D69" s="136">
        <v>14</v>
      </c>
      <c r="E69" s="137" t="s">
        <v>904</v>
      </c>
      <c r="F69" s="137" t="s">
        <v>896</v>
      </c>
      <c r="G69" s="137" t="s">
        <v>905</v>
      </c>
      <c r="H69" s="138" t="s">
        <v>898</v>
      </c>
      <c r="I69" s="138" t="s">
        <v>899</v>
      </c>
      <c r="J69" s="138" t="s">
        <v>900</v>
      </c>
      <c r="K69" s="138" t="s">
        <v>901</v>
      </c>
      <c r="L69" s="138" t="s">
        <v>899</v>
      </c>
      <c r="M69" s="138" t="s">
        <v>902</v>
      </c>
      <c r="N69" s="138" t="s">
        <v>904</v>
      </c>
      <c r="O69" s="138" t="s">
        <v>896</v>
      </c>
      <c r="P69" s="138" t="s">
        <v>905</v>
      </c>
      <c r="Q69" s="138" t="s">
        <v>904</v>
      </c>
      <c r="R69" s="138" t="s">
        <v>896</v>
      </c>
      <c r="S69" s="138" t="s">
        <v>905</v>
      </c>
      <c r="T69" s="138" t="s">
        <v>906</v>
      </c>
      <c r="U69" s="138">
        <v>0</v>
      </c>
      <c r="V69" s="138">
        <v>100</v>
      </c>
      <c r="W69" s="138" t="s">
        <v>957</v>
      </c>
      <c r="X69" s="139">
        <v>-30</v>
      </c>
      <c r="Y69" s="139">
        <v>0</v>
      </c>
    </row>
    <row r="70" spans="1:25">
      <c r="A70" s="134" t="s">
        <v>1057</v>
      </c>
      <c r="B70" s="135" t="s">
        <v>929</v>
      </c>
      <c r="C70" s="136">
        <v>6</v>
      </c>
      <c r="D70" s="136">
        <v>12</v>
      </c>
      <c r="E70" s="137" t="s">
        <v>904</v>
      </c>
      <c r="F70" s="137" t="s">
        <v>896</v>
      </c>
      <c r="G70" s="137" t="s">
        <v>905</v>
      </c>
      <c r="H70" s="138" t="s">
        <v>898</v>
      </c>
      <c r="I70" s="138" t="s">
        <v>899</v>
      </c>
      <c r="J70" s="138" t="s">
        <v>900</v>
      </c>
      <c r="K70" s="138" t="s">
        <v>901</v>
      </c>
      <c r="L70" s="138" t="s">
        <v>899</v>
      </c>
      <c r="M70" s="138" t="s">
        <v>902</v>
      </c>
      <c r="N70" s="138" t="s">
        <v>904</v>
      </c>
      <c r="O70" s="138" t="s">
        <v>896</v>
      </c>
      <c r="P70" s="138" t="s">
        <v>905</v>
      </c>
      <c r="Q70" s="138" t="s">
        <v>904</v>
      </c>
      <c r="R70" s="138" t="s">
        <v>896</v>
      </c>
      <c r="S70" s="138" t="s">
        <v>905</v>
      </c>
      <c r="T70" s="138" t="s">
        <v>906</v>
      </c>
      <c r="U70" s="138">
        <v>0</v>
      </c>
      <c r="V70" s="138">
        <v>100</v>
      </c>
      <c r="W70" s="138" t="s">
        <v>957</v>
      </c>
      <c r="X70" s="139">
        <v>-30</v>
      </c>
      <c r="Y70" s="139">
        <v>0</v>
      </c>
    </row>
    <row r="71" spans="1:25">
      <c r="A71" s="134" t="s">
        <v>1058</v>
      </c>
      <c r="B71" s="135" t="s">
        <v>1008</v>
      </c>
      <c r="C71" s="136">
        <v>24</v>
      </c>
      <c r="D71" s="136">
        <v>44</v>
      </c>
      <c r="E71" s="137" t="s">
        <v>912</v>
      </c>
      <c r="F71" s="137" t="s">
        <v>896</v>
      </c>
      <c r="G71" s="137" t="s">
        <v>913</v>
      </c>
      <c r="H71" s="138" t="s">
        <v>898</v>
      </c>
      <c r="I71" s="138" t="s">
        <v>899</v>
      </c>
      <c r="J71" s="138" t="s">
        <v>900</v>
      </c>
      <c r="K71" s="138" t="s">
        <v>1023</v>
      </c>
      <c r="L71" s="138" t="s">
        <v>933</v>
      </c>
      <c r="M71" s="138" t="s">
        <v>960</v>
      </c>
      <c r="N71" s="138" t="s">
        <v>914</v>
      </c>
      <c r="O71" s="138" t="s">
        <v>896</v>
      </c>
      <c r="P71" s="138" t="s">
        <v>915</v>
      </c>
      <c r="Q71" s="138" t="s">
        <v>914</v>
      </c>
      <c r="R71" s="138" t="s">
        <v>896</v>
      </c>
      <c r="S71" s="138" t="s">
        <v>915</v>
      </c>
      <c r="T71" s="138" t="s">
        <v>906</v>
      </c>
      <c r="U71" s="138">
        <v>0</v>
      </c>
      <c r="V71" s="138">
        <v>100</v>
      </c>
      <c r="W71" s="138" t="s">
        <v>1023</v>
      </c>
      <c r="X71" s="139">
        <v>120</v>
      </c>
      <c r="Y71" s="139">
        <v>200</v>
      </c>
    </row>
    <row r="72" spans="1:25">
      <c r="A72" s="134" t="s">
        <v>1059</v>
      </c>
      <c r="B72" s="135" t="s">
        <v>1060</v>
      </c>
      <c r="C72" s="136">
        <v>20</v>
      </c>
      <c r="D72" s="136">
        <v>44</v>
      </c>
      <c r="E72" s="137" t="s">
        <v>904</v>
      </c>
      <c r="F72" s="137" t="s">
        <v>896</v>
      </c>
      <c r="G72" s="137" t="s">
        <v>905</v>
      </c>
      <c r="H72" s="138" t="s">
        <v>898</v>
      </c>
      <c r="I72" s="138" t="s">
        <v>899</v>
      </c>
      <c r="J72" s="138" t="s">
        <v>900</v>
      </c>
      <c r="K72" s="138" t="s">
        <v>932</v>
      </c>
      <c r="L72" s="138" t="s">
        <v>902</v>
      </c>
      <c r="M72" s="138" t="s">
        <v>933</v>
      </c>
      <c r="N72" s="138" t="s">
        <v>904</v>
      </c>
      <c r="O72" s="138" t="s">
        <v>896</v>
      </c>
      <c r="P72" s="138" t="s">
        <v>905</v>
      </c>
      <c r="Q72" s="138" t="s">
        <v>914</v>
      </c>
      <c r="R72" s="138" t="s">
        <v>896</v>
      </c>
      <c r="S72" s="138" t="s">
        <v>915</v>
      </c>
      <c r="T72" s="138" t="s">
        <v>906</v>
      </c>
      <c r="U72" s="138">
        <v>0</v>
      </c>
      <c r="V72" s="138">
        <v>100</v>
      </c>
      <c r="W72" s="138" t="s">
        <v>935</v>
      </c>
      <c r="X72" s="139">
        <v>0</v>
      </c>
      <c r="Y72" s="139">
        <v>60</v>
      </c>
    </row>
    <row r="73" spans="1:25">
      <c r="A73" s="134" t="s">
        <v>1061</v>
      </c>
      <c r="B73" s="135" t="s">
        <v>1062</v>
      </c>
      <c r="C73" s="136">
        <v>16</v>
      </c>
      <c r="D73" s="136">
        <v>44</v>
      </c>
      <c r="E73" s="137" t="s">
        <v>904</v>
      </c>
      <c r="F73" s="137" t="s">
        <v>896</v>
      </c>
      <c r="G73" s="137" t="s">
        <v>905</v>
      </c>
      <c r="H73" s="138" t="s">
        <v>898</v>
      </c>
      <c r="I73" s="138" t="s">
        <v>899</v>
      </c>
      <c r="J73" s="138" t="s">
        <v>900</v>
      </c>
      <c r="K73" s="138" t="s">
        <v>932</v>
      </c>
      <c r="L73" s="138" t="s">
        <v>902</v>
      </c>
      <c r="M73" s="138" t="s">
        <v>933</v>
      </c>
      <c r="N73" s="138" t="s">
        <v>904</v>
      </c>
      <c r="O73" s="138" t="s">
        <v>896</v>
      </c>
      <c r="P73" s="138" t="s">
        <v>905</v>
      </c>
      <c r="Q73" s="138" t="s">
        <v>914</v>
      </c>
      <c r="R73" s="138" t="s">
        <v>896</v>
      </c>
      <c r="S73" s="138" t="s">
        <v>915</v>
      </c>
      <c r="T73" s="138" t="s">
        <v>906</v>
      </c>
      <c r="U73" s="138">
        <v>0</v>
      </c>
      <c r="V73" s="138">
        <v>100</v>
      </c>
      <c r="W73" s="138" t="s">
        <v>935</v>
      </c>
      <c r="X73" s="139">
        <v>0</v>
      </c>
      <c r="Y73" s="139">
        <v>60</v>
      </c>
    </row>
    <row r="74" spans="1:25">
      <c r="A74" s="134" t="s">
        <v>1063</v>
      </c>
      <c r="B74" s="135" t="s">
        <v>1064</v>
      </c>
      <c r="C74" s="136">
        <v>20</v>
      </c>
      <c r="D74" s="136">
        <v>38</v>
      </c>
      <c r="E74" s="137" t="s">
        <v>904</v>
      </c>
      <c r="F74" s="137" t="s">
        <v>896</v>
      </c>
      <c r="G74" s="137" t="s">
        <v>905</v>
      </c>
      <c r="H74" s="138" t="s">
        <v>898</v>
      </c>
      <c r="I74" s="138" t="s">
        <v>899</v>
      </c>
      <c r="J74" s="138" t="s">
        <v>900</v>
      </c>
      <c r="K74" s="138" t="s">
        <v>932</v>
      </c>
      <c r="L74" s="138" t="s">
        <v>902</v>
      </c>
      <c r="M74" s="138" t="s">
        <v>933</v>
      </c>
      <c r="N74" s="138" t="s">
        <v>904</v>
      </c>
      <c r="O74" s="138" t="s">
        <v>896</v>
      </c>
      <c r="P74" s="138" t="s">
        <v>905</v>
      </c>
      <c r="Q74" s="138" t="s">
        <v>914</v>
      </c>
      <c r="R74" s="138" t="s">
        <v>896</v>
      </c>
      <c r="S74" s="138" t="s">
        <v>915</v>
      </c>
      <c r="T74" s="138" t="s">
        <v>906</v>
      </c>
      <c r="U74" s="138">
        <v>0</v>
      </c>
      <c r="V74" s="138">
        <v>100</v>
      </c>
      <c r="W74" s="138" t="s">
        <v>935</v>
      </c>
      <c r="X74" s="139">
        <v>0</v>
      </c>
      <c r="Y74" s="139">
        <v>60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A43B9-E8B0-0E4F-8C91-451A4C47A1E2}">
  <sheetPr codeName="Feuil9"/>
  <dimension ref="A1:E68"/>
  <sheetViews>
    <sheetView topLeftCell="A39" workbookViewId="0">
      <selection activeCell="E1" sqref="E1"/>
    </sheetView>
  </sheetViews>
  <sheetFormatPr baseColWidth="10" defaultRowHeight="16"/>
  <cols>
    <col min="1" max="1" width="35" bestFit="1" customWidth="1"/>
    <col min="2" max="2" width="22.1640625" bestFit="1" customWidth="1"/>
    <col min="3" max="3" width="50.83203125" bestFit="1" customWidth="1"/>
    <col min="4" max="4" width="73.83203125" bestFit="1" customWidth="1"/>
    <col min="5" max="5" width="83" bestFit="1" customWidth="1"/>
  </cols>
  <sheetData>
    <row r="1" spans="1:5" ht="18">
      <c r="A1" s="123" t="s">
        <v>562</v>
      </c>
      <c r="B1" s="123" t="s">
        <v>563</v>
      </c>
      <c r="C1" s="123" t="s">
        <v>564</v>
      </c>
      <c r="D1" s="123" t="s">
        <v>565</v>
      </c>
      <c r="E1" s="123" t="s">
        <v>566</v>
      </c>
    </row>
    <row r="2" spans="1:5">
      <c r="A2" s="113" t="s">
        <v>567</v>
      </c>
      <c r="B2" s="113" t="s">
        <v>568</v>
      </c>
      <c r="C2" s="113" t="s">
        <v>43</v>
      </c>
      <c r="D2" s="113" t="s">
        <v>569</v>
      </c>
      <c r="E2" s="113" t="s">
        <v>570</v>
      </c>
    </row>
    <row r="3" spans="1:5">
      <c r="A3" s="113" t="s">
        <v>313</v>
      </c>
      <c r="B3" s="113" t="s">
        <v>571</v>
      </c>
      <c r="C3" s="113" t="s">
        <v>572</v>
      </c>
      <c r="D3" s="113" t="s">
        <v>572</v>
      </c>
      <c r="E3" s="113" t="s">
        <v>573</v>
      </c>
    </row>
    <row r="4" spans="1:5">
      <c r="A4" s="113" t="s">
        <v>314</v>
      </c>
      <c r="B4" s="113" t="s">
        <v>574</v>
      </c>
      <c r="C4" s="113" t="s">
        <v>575</v>
      </c>
      <c r="D4" s="113" t="s">
        <v>576</v>
      </c>
      <c r="E4" s="113" t="s">
        <v>577</v>
      </c>
    </row>
    <row r="5" spans="1:5">
      <c r="A5" s="113" t="s">
        <v>578</v>
      </c>
      <c r="B5" s="113" t="s">
        <v>579</v>
      </c>
      <c r="C5" s="113" t="s">
        <v>580</v>
      </c>
      <c r="D5" s="113" t="s">
        <v>581</v>
      </c>
      <c r="E5" s="113" t="s">
        <v>582</v>
      </c>
    </row>
    <row r="6" spans="1:5">
      <c r="A6" s="113" t="s">
        <v>583</v>
      </c>
      <c r="B6" s="113" t="s">
        <v>584</v>
      </c>
      <c r="C6" s="113" t="s">
        <v>585</v>
      </c>
      <c r="D6" s="113" t="s">
        <v>586</v>
      </c>
      <c r="E6" s="113" t="s">
        <v>587</v>
      </c>
    </row>
    <row r="7" spans="1:5">
      <c r="A7" s="113" t="s">
        <v>588</v>
      </c>
      <c r="B7" s="113" t="s">
        <v>589</v>
      </c>
      <c r="C7" s="113" t="s">
        <v>590</v>
      </c>
      <c r="D7" s="113" t="s">
        <v>591</v>
      </c>
      <c r="E7" s="113" t="s">
        <v>592</v>
      </c>
    </row>
    <row r="8" spans="1:5">
      <c r="A8" s="113" t="s">
        <v>586</v>
      </c>
      <c r="B8" s="113" t="s">
        <v>593</v>
      </c>
      <c r="C8" s="113" t="s">
        <v>594</v>
      </c>
      <c r="D8" s="113" t="s">
        <v>595</v>
      </c>
      <c r="E8" s="113" t="s">
        <v>596</v>
      </c>
    </row>
    <row r="9" spans="1:5">
      <c r="A9" s="113" t="s">
        <v>316</v>
      </c>
      <c r="B9" s="113" t="s">
        <v>597</v>
      </c>
      <c r="C9" s="113" t="s">
        <v>598</v>
      </c>
      <c r="D9" s="113" t="s">
        <v>599</v>
      </c>
      <c r="E9" s="113" t="s">
        <v>600</v>
      </c>
    </row>
    <row r="10" spans="1:5">
      <c r="A10" s="113" t="s">
        <v>321</v>
      </c>
      <c r="B10" s="113" t="s">
        <v>601</v>
      </c>
      <c r="C10" s="113" t="s">
        <v>602</v>
      </c>
      <c r="D10" s="113" t="s">
        <v>603</v>
      </c>
      <c r="E10" s="113" t="s">
        <v>604</v>
      </c>
    </row>
    <row r="11" spans="1:5">
      <c r="A11" s="113" t="s">
        <v>605</v>
      </c>
      <c r="B11" s="113" t="s">
        <v>606</v>
      </c>
      <c r="C11" s="113" t="s">
        <v>607</v>
      </c>
      <c r="D11" s="113" t="s">
        <v>608</v>
      </c>
      <c r="E11" s="113" t="s">
        <v>609</v>
      </c>
    </row>
    <row r="12" spans="1:5">
      <c r="A12" s="113" t="s">
        <v>320</v>
      </c>
      <c r="B12" s="113" t="s">
        <v>610</v>
      </c>
      <c r="C12" s="113" t="s">
        <v>611</v>
      </c>
      <c r="D12" s="113" t="s">
        <v>612</v>
      </c>
      <c r="E12" s="113" t="s">
        <v>613</v>
      </c>
    </row>
    <row r="13" spans="1:5">
      <c r="A13" s="113" t="s">
        <v>614</v>
      </c>
      <c r="B13" s="113" t="s">
        <v>615</v>
      </c>
      <c r="C13" s="113" t="s">
        <v>616</v>
      </c>
      <c r="D13" s="113" t="s">
        <v>617</v>
      </c>
      <c r="E13" s="113" t="s">
        <v>618</v>
      </c>
    </row>
    <row r="14" spans="1:5">
      <c r="A14" s="113" t="s">
        <v>323</v>
      </c>
      <c r="B14" s="113" t="s">
        <v>619</v>
      </c>
      <c r="C14" s="113" t="s">
        <v>620</v>
      </c>
      <c r="D14" s="113" t="s">
        <v>621</v>
      </c>
      <c r="E14" s="113" t="s">
        <v>622</v>
      </c>
    </row>
    <row r="15" spans="1:5">
      <c r="A15" s="113" t="s">
        <v>324</v>
      </c>
      <c r="B15" s="113" t="s">
        <v>623</v>
      </c>
      <c r="C15" s="113" t="s">
        <v>624</v>
      </c>
      <c r="D15" s="113" t="s">
        <v>625</v>
      </c>
      <c r="E15" s="113" t="s">
        <v>626</v>
      </c>
    </row>
    <row r="16" spans="1:5">
      <c r="A16" s="113" t="s">
        <v>627</v>
      </c>
      <c r="B16" s="113" t="s">
        <v>628</v>
      </c>
      <c r="C16" s="113" t="s">
        <v>51</v>
      </c>
      <c r="D16" s="113" t="s">
        <v>629</v>
      </c>
      <c r="E16" s="113" t="s">
        <v>630</v>
      </c>
    </row>
    <row r="17" spans="1:5">
      <c r="A17" s="113" t="s">
        <v>631</v>
      </c>
      <c r="B17" s="113" t="s">
        <v>606</v>
      </c>
      <c r="C17" s="113" t="s">
        <v>632</v>
      </c>
      <c r="D17" s="113" t="s">
        <v>633</v>
      </c>
      <c r="E17" s="113" t="s">
        <v>634</v>
      </c>
    </row>
    <row r="18" spans="1:5">
      <c r="A18" s="113" t="s">
        <v>635</v>
      </c>
      <c r="B18" s="113" t="s">
        <v>636</v>
      </c>
      <c r="C18" s="113" t="s">
        <v>637</v>
      </c>
      <c r="D18" s="113" t="s">
        <v>638</v>
      </c>
      <c r="E18" s="113" t="s">
        <v>639</v>
      </c>
    </row>
    <row r="19" spans="1:5">
      <c r="A19" s="113" t="s">
        <v>640</v>
      </c>
      <c r="B19" s="113" t="s">
        <v>636</v>
      </c>
      <c r="C19" s="113" t="s">
        <v>641</v>
      </c>
      <c r="D19" s="113" t="s">
        <v>642</v>
      </c>
      <c r="E19" s="113" t="s">
        <v>643</v>
      </c>
    </row>
    <row r="20" spans="1:5">
      <c r="A20" s="113" t="s">
        <v>617</v>
      </c>
      <c r="B20" s="113" t="s">
        <v>610</v>
      </c>
      <c r="C20" s="113" t="s">
        <v>644</v>
      </c>
      <c r="D20" s="113" t="s">
        <v>645</v>
      </c>
      <c r="E20" s="113" t="s">
        <v>646</v>
      </c>
    </row>
    <row r="21" spans="1:5">
      <c r="A21" s="113" t="s">
        <v>647</v>
      </c>
      <c r="B21" s="113" t="s">
        <v>648</v>
      </c>
      <c r="C21" s="113" t="s">
        <v>649</v>
      </c>
      <c r="D21" s="113" t="s">
        <v>650</v>
      </c>
      <c r="E21" s="113" t="s">
        <v>651</v>
      </c>
    </row>
    <row r="22" spans="1:5">
      <c r="A22" s="113" t="s">
        <v>652</v>
      </c>
      <c r="B22" s="113" t="s">
        <v>653</v>
      </c>
      <c r="C22" s="113" t="s">
        <v>654</v>
      </c>
      <c r="D22" s="113" t="s">
        <v>655</v>
      </c>
      <c r="E22" s="113" t="s">
        <v>656</v>
      </c>
    </row>
    <row r="23" spans="1:5">
      <c r="A23" s="113" t="s">
        <v>657</v>
      </c>
      <c r="B23" s="113" t="s">
        <v>658</v>
      </c>
      <c r="C23" s="113" t="s">
        <v>572</v>
      </c>
      <c r="D23" s="113" t="s">
        <v>659</v>
      </c>
      <c r="E23" s="113" t="s">
        <v>660</v>
      </c>
    </row>
    <row r="24" spans="1:5">
      <c r="A24" s="113" t="s">
        <v>661</v>
      </c>
      <c r="B24" s="113" t="s">
        <v>662</v>
      </c>
      <c r="C24" s="113" t="s">
        <v>663</v>
      </c>
      <c r="D24" s="113" t="s">
        <v>664</v>
      </c>
      <c r="E24" s="113" t="s">
        <v>665</v>
      </c>
    </row>
    <row r="25" spans="1:5">
      <c r="A25" s="113" t="s">
        <v>666</v>
      </c>
      <c r="B25" s="113" t="s">
        <v>653</v>
      </c>
      <c r="C25" s="113" t="s">
        <v>667</v>
      </c>
      <c r="D25" s="113" t="s">
        <v>668</v>
      </c>
      <c r="E25" s="113" t="s">
        <v>669</v>
      </c>
    </row>
    <row r="26" spans="1:5">
      <c r="A26" s="113" t="s">
        <v>670</v>
      </c>
      <c r="B26" s="113" t="s">
        <v>662</v>
      </c>
      <c r="C26" s="113" t="s">
        <v>654</v>
      </c>
      <c r="D26" s="113" t="s">
        <v>671</v>
      </c>
      <c r="E26" s="113" t="s">
        <v>672</v>
      </c>
    </row>
    <row r="27" spans="1:5">
      <c r="A27" s="113" t="s">
        <v>673</v>
      </c>
      <c r="B27" s="113" t="s">
        <v>674</v>
      </c>
      <c r="C27" s="113" t="s">
        <v>675</v>
      </c>
      <c r="D27" s="113" t="s">
        <v>676</v>
      </c>
      <c r="E27" s="113" t="s">
        <v>677</v>
      </c>
    </row>
    <row r="28" spans="1:5">
      <c r="A28" s="113" t="s">
        <v>678</v>
      </c>
      <c r="B28" s="113" t="s">
        <v>636</v>
      </c>
      <c r="C28" s="113" t="s">
        <v>679</v>
      </c>
      <c r="D28" s="113" t="s">
        <v>680</v>
      </c>
      <c r="E28" s="113" t="s">
        <v>681</v>
      </c>
    </row>
    <row r="29" spans="1:5">
      <c r="A29" s="113" t="s">
        <v>336</v>
      </c>
      <c r="B29" s="113" t="s">
        <v>682</v>
      </c>
      <c r="C29" s="113" t="s">
        <v>654</v>
      </c>
      <c r="D29" s="113" t="s">
        <v>683</v>
      </c>
      <c r="E29" s="113" t="s">
        <v>684</v>
      </c>
    </row>
    <row r="30" spans="1:5">
      <c r="A30" s="113" t="s">
        <v>337</v>
      </c>
      <c r="B30" s="113" t="s">
        <v>685</v>
      </c>
      <c r="C30" s="113" t="s">
        <v>686</v>
      </c>
      <c r="D30" s="113" t="s">
        <v>687</v>
      </c>
      <c r="E30" s="113" t="s">
        <v>688</v>
      </c>
    </row>
    <row r="31" spans="1:5">
      <c r="A31" s="113" t="s">
        <v>689</v>
      </c>
      <c r="B31" s="113" t="s">
        <v>690</v>
      </c>
      <c r="C31" s="113" t="s">
        <v>654</v>
      </c>
      <c r="D31" s="113" t="s">
        <v>691</v>
      </c>
      <c r="E31" s="113" t="s">
        <v>692</v>
      </c>
    </row>
    <row r="32" spans="1:5">
      <c r="A32" s="113" t="s">
        <v>693</v>
      </c>
      <c r="B32" s="113" t="s">
        <v>694</v>
      </c>
      <c r="C32" s="113" t="s">
        <v>695</v>
      </c>
      <c r="D32" s="113" t="s">
        <v>572</v>
      </c>
      <c r="E32" s="113" t="s">
        <v>696</v>
      </c>
    </row>
    <row r="33" spans="1:5">
      <c r="A33" s="113" t="s">
        <v>697</v>
      </c>
      <c r="B33" s="113" t="s">
        <v>698</v>
      </c>
      <c r="C33" s="113" t="s">
        <v>699</v>
      </c>
      <c r="D33" s="113" t="s">
        <v>700</v>
      </c>
      <c r="E33" s="113" t="s">
        <v>701</v>
      </c>
    </row>
    <row r="34" spans="1:5">
      <c r="A34" s="113" t="s">
        <v>702</v>
      </c>
      <c r="B34" s="113" t="s">
        <v>703</v>
      </c>
      <c r="C34" s="113" t="s">
        <v>704</v>
      </c>
      <c r="D34" s="113" t="s">
        <v>705</v>
      </c>
      <c r="E34" s="113" t="s">
        <v>701</v>
      </c>
    </row>
    <row r="35" spans="1:5">
      <c r="A35" s="113" t="s">
        <v>706</v>
      </c>
      <c r="B35" s="113" t="s">
        <v>707</v>
      </c>
      <c r="C35" s="113" t="s">
        <v>644</v>
      </c>
      <c r="D35" s="113" t="s">
        <v>572</v>
      </c>
      <c r="E35" s="113" t="s">
        <v>708</v>
      </c>
    </row>
    <row r="36" spans="1:5">
      <c r="A36" s="113" t="s">
        <v>709</v>
      </c>
      <c r="B36" s="113" t="s">
        <v>710</v>
      </c>
      <c r="C36" s="113" t="s">
        <v>711</v>
      </c>
      <c r="D36" s="113" t="s">
        <v>712</v>
      </c>
      <c r="E36" s="113" t="s">
        <v>713</v>
      </c>
    </row>
    <row r="37" spans="1:5">
      <c r="A37" s="113" t="s">
        <v>714</v>
      </c>
      <c r="B37" s="113" t="s">
        <v>715</v>
      </c>
      <c r="C37" s="113" t="s">
        <v>572</v>
      </c>
      <c r="D37" s="113" t="s">
        <v>320</v>
      </c>
      <c r="E37" s="113" t="s">
        <v>716</v>
      </c>
    </row>
    <row r="38" spans="1:5">
      <c r="A38" s="113" t="s">
        <v>717</v>
      </c>
      <c r="B38" s="113" t="s">
        <v>718</v>
      </c>
      <c r="C38" s="113" t="s">
        <v>719</v>
      </c>
      <c r="D38" s="113" t="s">
        <v>720</v>
      </c>
      <c r="E38" s="113" t="s">
        <v>721</v>
      </c>
    </row>
    <row r="39" spans="1:5">
      <c r="A39" s="113" t="s">
        <v>722</v>
      </c>
      <c r="B39" s="113" t="s">
        <v>723</v>
      </c>
      <c r="C39" s="113" t="s">
        <v>724</v>
      </c>
      <c r="D39" s="113" t="s">
        <v>725</v>
      </c>
      <c r="E39" s="113" t="s">
        <v>726</v>
      </c>
    </row>
    <row r="40" spans="1:5">
      <c r="A40" s="113" t="s">
        <v>727</v>
      </c>
      <c r="B40" s="113" t="s">
        <v>728</v>
      </c>
      <c r="C40" s="113" t="s">
        <v>729</v>
      </c>
      <c r="D40" s="113" t="s">
        <v>730</v>
      </c>
      <c r="E40" s="113" t="s">
        <v>731</v>
      </c>
    </row>
    <row r="41" spans="1:5">
      <c r="A41" s="113" t="s">
        <v>732</v>
      </c>
      <c r="B41" s="113" t="s">
        <v>733</v>
      </c>
      <c r="C41" s="113" t="s">
        <v>632</v>
      </c>
      <c r="D41" s="113" t="s">
        <v>734</v>
      </c>
      <c r="E41" s="113" t="s">
        <v>735</v>
      </c>
    </row>
    <row r="42" spans="1:5">
      <c r="A42" s="113" t="s">
        <v>736</v>
      </c>
      <c r="B42" s="113" t="s">
        <v>737</v>
      </c>
      <c r="C42" s="113" t="s">
        <v>738</v>
      </c>
      <c r="D42" s="113" t="s">
        <v>739</v>
      </c>
      <c r="E42" s="113" t="s">
        <v>740</v>
      </c>
    </row>
    <row r="43" spans="1:5">
      <c r="A43" s="113" t="s">
        <v>741</v>
      </c>
      <c r="B43" s="113" t="s">
        <v>703</v>
      </c>
      <c r="C43" s="113" t="s">
        <v>742</v>
      </c>
      <c r="D43" s="113" t="s">
        <v>743</v>
      </c>
      <c r="E43" s="113" t="s">
        <v>744</v>
      </c>
    </row>
    <row r="44" spans="1:5">
      <c r="A44" s="113" t="s">
        <v>745</v>
      </c>
      <c r="B44" s="113" t="s">
        <v>746</v>
      </c>
      <c r="C44" s="113" t="s">
        <v>747</v>
      </c>
      <c r="D44" s="113" t="s">
        <v>748</v>
      </c>
      <c r="E44" s="113" t="s">
        <v>749</v>
      </c>
    </row>
    <row r="45" spans="1:5">
      <c r="A45" s="113" t="s">
        <v>750</v>
      </c>
      <c r="B45" s="113" t="s">
        <v>737</v>
      </c>
      <c r="C45" s="113" t="s">
        <v>738</v>
      </c>
      <c r="D45" s="113" t="s">
        <v>751</v>
      </c>
      <c r="E45" s="113" t="s">
        <v>752</v>
      </c>
    </row>
    <row r="46" spans="1:5">
      <c r="A46" s="113" t="s">
        <v>753</v>
      </c>
      <c r="B46" s="113" t="s">
        <v>754</v>
      </c>
      <c r="C46" s="113" t="s">
        <v>755</v>
      </c>
      <c r="D46" s="113" t="s">
        <v>756</v>
      </c>
      <c r="E46" s="113" t="s">
        <v>757</v>
      </c>
    </row>
    <row r="47" spans="1:5">
      <c r="A47" s="113" t="s">
        <v>758</v>
      </c>
      <c r="B47" s="113" t="s">
        <v>759</v>
      </c>
      <c r="C47" s="113" t="s">
        <v>760</v>
      </c>
      <c r="D47" s="113" t="s">
        <v>761</v>
      </c>
      <c r="E47" s="113" t="s">
        <v>762</v>
      </c>
    </row>
    <row r="48" spans="1:5">
      <c r="A48" s="113" t="s">
        <v>763</v>
      </c>
      <c r="B48" s="113" t="s">
        <v>764</v>
      </c>
      <c r="C48" s="113" t="s">
        <v>572</v>
      </c>
      <c r="D48" s="113" t="s">
        <v>617</v>
      </c>
      <c r="E48" s="113" t="s">
        <v>765</v>
      </c>
    </row>
    <row r="49" spans="1:5">
      <c r="A49" s="113" t="s">
        <v>349</v>
      </c>
      <c r="B49" s="113" t="s">
        <v>766</v>
      </c>
      <c r="C49" s="113" t="s">
        <v>572</v>
      </c>
      <c r="D49" s="113" t="s">
        <v>572</v>
      </c>
      <c r="E49" s="113" t="s">
        <v>767</v>
      </c>
    </row>
    <row r="50" spans="1:5">
      <c r="A50" s="113" t="s">
        <v>768</v>
      </c>
      <c r="B50" s="113" t="s">
        <v>636</v>
      </c>
      <c r="C50" s="113" t="s">
        <v>41</v>
      </c>
      <c r="D50" s="113" t="s">
        <v>769</v>
      </c>
      <c r="E50" s="113" t="s">
        <v>770</v>
      </c>
    </row>
    <row r="51" spans="1:5">
      <c r="A51" s="113" t="s">
        <v>771</v>
      </c>
      <c r="B51" s="113" t="s">
        <v>648</v>
      </c>
      <c r="C51" s="113" t="s">
        <v>772</v>
      </c>
      <c r="D51" s="113" t="s">
        <v>773</v>
      </c>
      <c r="E51" s="113" t="s">
        <v>774</v>
      </c>
    </row>
    <row r="52" spans="1:5">
      <c r="A52" s="113" t="s">
        <v>775</v>
      </c>
      <c r="B52" s="113" t="s">
        <v>754</v>
      </c>
      <c r="C52" s="113" t="s">
        <v>776</v>
      </c>
      <c r="D52" s="113" t="s">
        <v>777</v>
      </c>
      <c r="E52" s="113" t="s">
        <v>778</v>
      </c>
    </row>
    <row r="53" spans="1:5">
      <c r="A53" s="113" t="s">
        <v>779</v>
      </c>
      <c r="B53" s="113" t="s">
        <v>780</v>
      </c>
      <c r="C53" s="113" t="s">
        <v>781</v>
      </c>
      <c r="D53" s="113" t="s">
        <v>782</v>
      </c>
      <c r="E53" s="113" t="s">
        <v>783</v>
      </c>
    </row>
    <row r="54" spans="1:5">
      <c r="A54" s="113" t="s">
        <v>784</v>
      </c>
      <c r="B54" s="113" t="s">
        <v>754</v>
      </c>
      <c r="C54" s="113" t="s">
        <v>755</v>
      </c>
      <c r="D54" s="113" t="s">
        <v>785</v>
      </c>
      <c r="E54" s="113" t="s">
        <v>786</v>
      </c>
    </row>
    <row r="55" spans="1:5">
      <c r="A55" s="113" t="s">
        <v>787</v>
      </c>
      <c r="B55" s="113" t="s">
        <v>788</v>
      </c>
      <c r="C55" s="113" t="s">
        <v>641</v>
      </c>
      <c r="D55" s="113" t="s">
        <v>789</v>
      </c>
      <c r="E55" s="113" t="s">
        <v>790</v>
      </c>
    </row>
    <row r="56" spans="1:5">
      <c r="A56" s="113" t="s">
        <v>352</v>
      </c>
      <c r="B56" s="113" t="s">
        <v>791</v>
      </c>
      <c r="C56" s="113" t="s">
        <v>792</v>
      </c>
      <c r="D56" s="113" t="s">
        <v>349</v>
      </c>
      <c r="E56" s="113" t="s">
        <v>793</v>
      </c>
    </row>
    <row r="57" spans="1:5">
      <c r="A57" s="113" t="s">
        <v>794</v>
      </c>
      <c r="B57" s="113" t="s">
        <v>795</v>
      </c>
      <c r="C57" s="113" t="s">
        <v>796</v>
      </c>
      <c r="D57" s="113" t="s">
        <v>797</v>
      </c>
      <c r="E57" s="113" t="s">
        <v>798</v>
      </c>
    </row>
    <row r="58" spans="1:5">
      <c r="A58" s="113" t="s">
        <v>799</v>
      </c>
      <c r="B58" s="113" t="s">
        <v>800</v>
      </c>
      <c r="C58" s="113" t="s">
        <v>801</v>
      </c>
      <c r="D58" s="113" t="s">
        <v>802</v>
      </c>
      <c r="E58" s="113" t="s">
        <v>803</v>
      </c>
    </row>
    <row r="59" spans="1:5">
      <c r="A59" s="113" t="s">
        <v>804</v>
      </c>
      <c r="B59" s="113" t="s">
        <v>653</v>
      </c>
      <c r="C59" s="113" t="s">
        <v>805</v>
      </c>
      <c r="D59" s="113" t="s">
        <v>806</v>
      </c>
      <c r="E59" s="113" t="s">
        <v>807</v>
      </c>
    </row>
    <row r="60" spans="1:5">
      <c r="A60" s="113" t="s">
        <v>356</v>
      </c>
      <c r="B60" s="113" t="s">
        <v>808</v>
      </c>
      <c r="C60" s="113" t="s">
        <v>43</v>
      </c>
      <c r="D60" s="113" t="s">
        <v>323</v>
      </c>
      <c r="E60" s="113" t="s">
        <v>809</v>
      </c>
    </row>
    <row r="61" spans="1:5">
      <c r="A61" s="113" t="s">
        <v>810</v>
      </c>
      <c r="B61" s="113" t="s">
        <v>579</v>
      </c>
      <c r="C61" s="113" t="s">
        <v>811</v>
      </c>
      <c r="D61" s="113" t="s">
        <v>812</v>
      </c>
      <c r="E61" s="113" t="s">
        <v>813</v>
      </c>
    </row>
    <row r="62" spans="1:5">
      <c r="A62" s="113" t="s">
        <v>814</v>
      </c>
      <c r="B62" s="113" t="s">
        <v>815</v>
      </c>
      <c r="C62" s="113" t="s">
        <v>816</v>
      </c>
      <c r="D62" s="113" t="s">
        <v>817</v>
      </c>
      <c r="E62" s="113" t="s">
        <v>818</v>
      </c>
    </row>
    <row r="63" spans="1:5">
      <c r="A63" s="113" t="s">
        <v>819</v>
      </c>
      <c r="B63" s="113" t="s">
        <v>820</v>
      </c>
      <c r="C63" s="113" t="s">
        <v>572</v>
      </c>
      <c r="D63" s="113" t="s">
        <v>821</v>
      </c>
      <c r="E63" s="113" t="s">
        <v>822</v>
      </c>
    </row>
    <row r="64" spans="1:5">
      <c r="A64" s="113" t="s">
        <v>823</v>
      </c>
      <c r="B64" s="113" t="s">
        <v>808</v>
      </c>
      <c r="C64" s="113" t="s">
        <v>824</v>
      </c>
      <c r="D64" s="113" t="s">
        <v>709</v>
      </c>
      <c r="E64" s="113" t="s">
        <v>767</v>
      </c>
    </row>
    <row r="65" spans="1:5">
      <c r="A65" s="113" t="s">
        <v>825</v>
      </c>
      <c r="B65" s="113" t="s">
        <v>579</v>
      </c>
      <c r="C65" s="113" t="s">
        <v>43</v>
      </c>
      <c r="D65" s="113" t="s">
        <v>826</v>
      </c>
      <c r="E65" s="113" t="s">
        <v>827</v>
      </c>
    </row>
    <row r="66" spans="1:5">
      <c r="A66" s="113" t="s">
        <v>357</v>
      </c>
      <c r="B66" s="113" t="s">
        <v>828</v>
      </c>
      <c r="C66" s="113" t="s">
        <v>829</v>
      </c>
      <c r="D66" s="113" t="s">
        <v>830</v>
      </c>
      <c r="E66" s="113" t="s">
        <v>831</v>
      </c>
    </row>
    <row r="67" spans="1:5">
      <c r="A67" s="113" t="s">
        <v>832</v>
      </c>
      <c r="B67" s="113" t="s">
        <v>723</v>
      </c>
      <c r="C67" s="113" t="s">
        <v>572</v>
      </c>
      <c r="D67" s="113" t="s">
        <v>572</v>
      </c>
      <c r="E67" s="113" t="s">
        <v>833</v>
      </c>
    </row>
    <row r="68" spans="1:5">
      <c r="A68" s="113" t="s">
        <v>834</v>
      </c>
      <c r="B68" s="113" t="s">
        <v>835</v>
      </c>
      <c r="C68" s="113" t="s">
        <v>572</v>
      </c>
      <c r="D68" s="113" t="s">
        <v>323</v>
      </c>
      <c r="E68" s="113" t="s">
        <v>836</v>
      </c>
    </row>
  </sheetData>
  <hyperlinks>
    <hyperlink ref="A9" r:id="rId1" display="http://www.brewps.com/cascade-hops-cascade-pellet-hops.html" xr:uid="{67205A0D-F03D-C746-A631-1CCA4891AC7F}"/>
    <hyperlink ref="A10" r:id="rId2" display="http://www.brewps.com/centennial-hops-centennial-pellet-hops.html" xr:uid="{215B2F79-E4A5-8948-BCEB-058A2132A413}"/>
    <hyperlink ref="A18" r:id="rId3" display="http://www.brewps.com/fuggles-hops-fuggles-pellet-hops.html" xr:uid="{EED267F2-3A25-8C45-A6A3-0DE4B359C296}"/>
    <hyperlink ref="A19" r:id="rId4" display="http://www.brewps.com/fuggles-hops-fuggles-pellet-hops.html" xr:uid="{0D37004B-80D8-E94B-B62D-457D713D5851}"/>
    <hyperlink ref="A21" r:id="rId5" display="http://www.brewps.com/prod_images/small/BPS-HPKE02.jpg" xr:uid="{C772DFCE-8015-A44C-AF09-EA2DD3DD5E74}"/>
    <hyperlink ref="A22" r:id="rId6" display="http://www.brewps.com/hallertau-hops-hallertau-pellet-hops.html" xr:uid="{BAE81618-0C4D-C54D-B33C-3FA6E736FAE6}"/>
    <hyperlink ref="A26" r:id="rId7" display="http://www.brewps.com/hallertau-hersbrucker-hops-pellets.html" xr:uid="{C566979A-B23B-464A-BB96-8E6C90EFAB73}"/>
    <hyperlink ref="A31" r:id="rId8" display="http://www.brewps.com/mt-hood-hops-mt-hood-pellet-hops.html" xr:uid="{17A856B2-C365-F44B-9C9D-C652230B7935}"/>
    <hyperlink ref="A45" r:id="rId9" display="http://www.brewps.com/saaz-hops-saaz-czech-pellet-hops.html" xr:uid="{EBED244D-C4A3-6248-9596-260EEA0C1C9C}"/>
    <hyperlink ref="A56" r:id="rId10" display="http://www.brewps.com/summit-hops-summit-pellet-hops.html" xr:uid="{EF1C3674-3F13-2F4D-9629-20CCB86A39D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6F11-5B95-4B46-8EB1-81D1B9A7BEB4}">
  <sheetPr codeName="Feuil10"/>
  <dimension ref="A1:Y102"/>
  <sheetViews>
    <sheetView zoomScale="95" zoomScaleNormal="95" workbookViewId="0">
      <pane xSplit="1" ySplit="2" topLeftCell="B3" activePane="bottomRight" state="frozenSplit"/>
      <selection pane="topRight" activeCell="I1" sqref="I1"/>
      <selection pane="bottomLeft" activeCell="A25" sqref="A25"/>
      <selection pane="bottomRight" activeCell="A52" sqref="A52"/>
    </sheetView>
  </sheetViews>
  <sheetFormatPr baseColWidth="10" defaultRowHeight="16"/>
  <cols>
    <col min="1" max="1" width="25" bestFit="1" customWidth="1"/>
    <col min="2" max="2" width="26.1640625" bestFit="1" customWidth="1"/>
    <col min="3" max="3" width="17.5" bestFit="1" customWidth="1"/>
    <col min="4" max="4" width="15" bestFit="1" customWidth="1"/>
    <col min="5" max="5" width="18.33203125" bestFit="1" customWidth="1"/>
    <col min="6" max="6" width="15" bestFit="1" customWidth="1"/>
    <col min="7" max="7" width="15.1640625" bestFit="1" customWidth="1"/>
    <col min="8" max="8" width="15.33203125" bestFit="1" customWidth="1"/>
    <col min="9" max="10" width="15.33203125" style="1" customWidth="1"/>
    <col min="11" max="11" width="15" bestFit="1" customWidth="1"/>
    <col min="12" max="12" width="15.1640625" bestFit="1" customWidth="1"/>
    <col min="13" max="13" width="14" bestFit="1" customWidth="1"/>
    <col min="14" max="14" width="14.1640625" bestFit="1" customWidth="1"/>
    <col min="15" max="15" width="13.6640625" bestFit="1" customWidth="1"/>
    <col min="16" max="16" width="13.83203125" bestFit="1" customWidth="1"/>
    <col min="17" max="17" width="14.33203125" bestFit="1" customWidth="1"/>
    <col min="18" max="18" width="14.5" bestFit="1" customWidth="1"/>
    <col min="19" max="19" width="13.83203125" bestFit="1" customWidth="1"/>
    <col min="20" max="20" width="13.83203125" style="1" customWidth="1"/>
    <col min="21" max="21" width="13.6640625" bestFit="1" customWidth="1"/>
    <col min="22" max="22" width="12.6640625" bestFit="1" customWidth="1"/>
    <col min="23" max="23" width="12.33203125" bestFit="1" customWidth="1"/>
    <col min="24" max="24" width="13" bestFit="1" customWidth="1"/>
    <col min="25" max="25" width="34" bestFit="1" customWidth="1"/>
  </cols>
  <sheetData>
    <row r="1" spans="1:25" s="126" customFormat="1">
      <c r="A1" s="126">
        <v>1</v>
      </c>
      <c r="B1" s="126">
        <v>2</v>
      </c>
      <c r="C1" s="126">
        <v>3</v>
      </c>
      <c r="D1" s="126">
        <v>4</v>
      </c>
      <c r="E1" s="126">
        <v>5</v>
      </c>
      <c r="F1" s="126">
        <v>6</v>
      </c>
      <c r="G1" s="126">
        <v>7</v>
      </c>
      <c r="H1" s="126">
        <v>8</v>
      </c>
      <c r="I1" s="126">
        <v>9</v>
      </c>
      <c r="J1" s="126">
        <v>10</v>
      </c>
      <c r="K1" s="126">
        <v>11</v>
      </c>
      <c r="L1" s="126">
        <v>12</v>
      </c>
      <c r="M1" s="126">
        <v>13</v>
      </c>
      <c r="N1" s="126">
        <v>14</v>
      </c>
      <c r="O1" s="126">
        <v>15</v>
      </c>
      <c r="P1" s="126">
        <v>16</v>
      </c>
      <c r="Q1" s="126">
        <v>17</v>
      </c>
      <c r="R1" s="126">
        <v>18</v>
      </c>
      <c r="S1" s="126">
        <v>19</v>
      </c>
      <c r="T1" s="126">
        <v>20</v>
      </c>
      <c r="U1" s="126">
        <v>21</v>
      </c>
      <c r="V1" s="126">
        <v>22</v>
      </c>
      <c r="W1" s="126">
        <v>23</v>
      </c>
      <c r="X1" s="126">
        <v>24</v>
      </c>
      <c r="Y1" s="126">
        <v>25</v>
      </c>
    </row>
    <row r="2" spans="1:25">
      <c r="A2" s="121" t="s">
        <v>412</v>
      </c>
      <c r="B2" s="121" t="s">
        <v>413</v>
      </c>
      <c r="C2" s="121" t="s">
        <v>414</v>
      </c>
      <c r="D2" s="121" t="s">
        <v>415</v>
      </c>
      <c r="E2" s="121" t="s">
        <v>416</v>
      </c>
      <c r="F2" s="121" t="s">
        <v>417</v>
      </c>
      <c r="G2" s="121" t="s">
        <v>418</v>
      </c>
      <c r="H2" s="121" t="s">
        <v>419</v>
      </c>
      <c r="I2" s="121" t="s">
        <v>559</v>
      </c>
      <c r="J2" s="121" t="s">
        <v>560</v>
      </c>
      <c r="K2" s="121" t="s">
        <v>420</v>
      </c>
      <c r="L2" s="121" t="s">
        <v>421</v>
      </c>
      <c r="M2" s="121" t="s">
        <v>422</v>
      </c>
      <c r="N2" s="121" t="s">
        <v>423</v>
      </c>
      <c r="O2" s="121" t="s">
        <v>424</v>
      </c>
      <c r="P2" s="121" t="s">
        <v>425</v>
      </c>
      <c r="Q2" s="121" t="s">
        <v>426</v>
      </c>
      <c r="R2" s="121" t="s">
        <v>427</v>
      </c>
      <c r="S2" s="121" t="s">
        <v>428</v>
      </c>
      <c r="T2" s="121" t="s">
        <v>561</v>
      </c>
      <c r="U2" s="121" t="s">
        <v>429</v>
      </c>
      <c r="V2" s="121" t="s">
        <v>430</v>
      </c>
      <c r="W2" s="121" t="s">
        <v>431</v>
      </c>
      <c r="X2" s="121" t="s">
        <v>432</v>
      </c>
      <c r="Y2" s="121" t="s">
        <v>433</v>
      </c>
    </row>
    <row r="3" spans="1:25">
      <c r="A3" s="122" t="s">
        <v>434</v>
      </c>
      <c r="B3" s="122" t="s">
        <v>435</v>
      </c>
      <c r="C3" s="1">
        <v>1</v>
      </c>
      <c r="D3" s="1"/>
      <c r="E3" s="1"/>
      <c r="F3" s="1"/>
      <c r="G3" s="122">
        <v>2</v>
      </c>
      <c r="H3" s="122">
        <v>3</v>
      </c>
      <c r="I3" s="122">
        <f>2*Table2[[#This Row],[Minimum SRM]]</f>
        <v>4</v>
      </c>
      <c r="J3" s="122">
        <f>2*Table2[[#This Row],[Minimum EBC]]</f>
        <v>8</v>
      </c>
      <c r="K3" s="122">
        <v>2.8</v>
      </c>
      <c r="L3" s="122">
        <v>4.2</v>
      </c>
      <c r="M3" s="122">
        <v>1.028</v>
      </c>
      <c r="N3" s="122">
        <v>1.04</v>
      </c>
      <c r="O3" s="122">
        <v>0.998</v>
      </c>
      <c r="P3" s="122">
        <v>1.008</v>
      </c>
      <c r="Q3" s="122">
        <v>8</v>
      </c>
      <c r="R3" s="122">
        <v>12</v>
      </c>
      <c r="S3" s="122">
        <f t="shared" ref="S3:S34" si="0">(G3+H3)/2</f>
        <v>2.5</v>
      </c>
      <c r="T3" s="122">
        <f>Table2[[#This Row],[Average SRM]]*2</f>
        <v>5</v>
      </c>
      <c r="U3" s="122">
        <f t="shared" ref="U3:U34" si="1">(K3+L3)/2</f>
        <v>3.5</v>
      </c>
      <c r="V3" s="122">
        <f t="shared" ref="V3:V34" si="2">(M3+N3)/2</f>
        <v>1.034</v>
      </c>
      <c r="W3" s="122">
        <f t="shared" ref="W3:W34" si="3">(O3+P3)/2</f>
        <v>1.0030000000000001</v>
      </c>
      <c r="X3" s="122">
        <f t="shared" ref="X3:X34" si="4">(Q3+R3)/2</f>
        <v>10</v>
      </c>
      <c r="Y3" s="122">
        <f t="shared" ref="Y3:Y34" si="5">ROUND((X3/(V3*1000-1000)),2)</f>
        <v>0.28999999999999998</v>
      </c>
    </row>
    <row r="4" spans="1:25">
      <c r="A4" s="122" t="s">
        <v>436</v>
      </c>
      <c r="B4" s="122" t="s">
        <v>435</v>
      </c>
      <c r="C4" s="1">
        <v>1</v>
      </c>
      <c r="D4" s="1"/>
      <c r="E4" s="1"/>
      <c r="F4" s="1"/>
      <c r="G4" s="122">
        <v>2</v>
      </c>
      <c r="H4" s="122">
        <v>4</v>
      </c>
      <c r="I4" s="122">
        <f>2*Table2[[#This Row],[Minimum SRM]]</f>
        <v>4</v>
      </c>
      <c r="J4" s="122">
        <f>2*Table2[[#This Row],[Minimum EBC]]</f>
        <v>8</v>
      </c>
      <c r="K4" s="122">
        <v>4.2</v>
      </c>
      <c r="L4" s="122">
        <v>5.3</v>
      </c>
      <c r="M4" s="122">
        <v>1.04</v>
      </c>
      <c r="N4" s="122">
        <v>1.05</v>
      </c>
      <c r="O4" s="122">
        <v>1.004</v>
      </c>
      <c r="P4" s="122">
        <v>1.01</v>
      </c>
      <c r="Q4" s="122">
        <v>8</v>
      </c>
      <c r="R4" s="122">
        <v>18</v>
      </c>
      <c r="S4" s="122">
        <f t="shared" si="0"/>
        <v>3</v>
      </c>
      <c r="T4" s="122">
        <f>Table2[[#This Row],[Average SRM]]*2</f>
        <v>6</v>
      </c>
      <c r="U4" s="122">
        <f t="shared" si="1"/>
        <v>4.75</v>
      </c>
      <c r="V4" s="122">
        <f t="shared" si="2"/>
        <v>1.0449999999999999</v>
      </c>
      <c r="W4" s="122">
        <f t="shared" si="3"/>
        <v>1.0070000000000001</v>
      </c>
      <c r="X4" s="122">
        <f t="shared" si="4"/>
        <v>13</v>
      </c>
      <c r="Y4" s="122">
        <f t="shared" si="5"/>
        <v>0.28999999999999998</v>
      </c>
    </row>
    <row r="5" spans="1:25">
      <c r="A5" s="122" t="s">
        <v>437</v>
      </c>
      <c r="B5" s="122" t="s">
        <v>435</v>
      </c>
      <c r="C5" s="1">
        <v>1</v>
      </c>
      <c r="D5" s="1"/>
      <c r="E5" s="1"/>
      <c r="F5" s="1"/>
      <c r="G5" s="122">
        <v>2.5</v>
      </c>
      <c r="H5" s="122">
        <v>5</v>
      </c>
      <c r="I5" s="122">
        <f>2*Table2[[#This Row],[Minimum SRM]]</f>
        <v>5</v>
      </c>
      <c r="J5" s="122">
        <f>2*Table2[[#This Row],[Minimum EBC]]</f>
        <v>10</v>
      </c>
      <c r="K5" s="122">
        <v>4.2</v>
      </c>
      <c r="L5" s="122">
        <v>5.6</v>
      </c>
      <c r="M5" s="122">
        <v>1.042</v>
      </c>
      <c r="N5" s="122">
        <v>1.0549999999999999</v>
      </c>
      <c r="O5" s="122">
        <v>1.006</v>
      </c>
      <c r="P5" s="122">
        <v>1.012</v>
      </c>
      <c r="Q5" s="122">
        <v>8</v>
      </c>
      <c r="R5" s="122">
        <v>20</v>
      </c>
      <c r="S5" s="122">
        <f t="shared" si="0"/>
        <v>3.75</v>
      </c>
      <c r="T5" s="122">
        <f>Table2[[#This Row],[Average SRM]]*2</f>
        <v>7.5</v>
      </c>
      <c r="U5" s="122">
        <f t="shared" si="1"/>
        <v>4.9000000000000004</v>
      </c>
      <c r="V5" s="122">
        <f t="shared" si="2"/>
        <v>1.0485</v>
      </c>
      <c r="W5" s="122">
        <f t="shared" si="3"/>
        <v>1.0089999999999999</v>
      </c>
      <c r="X5" s="122">
        <f t="shared" si="4"/>
        <v>14</v>
      </c>
      <c r="Y5" s="122">
        <f t="shared" si="5"/>
        <v>0.28999999999999998</v>
      </c>
    </row>
    <row r="6" spans="1:25">
      <c r="A6" s="122" t="s">
        <v>438</v>
      </c>
      <c r="B6" s="122" t="s">
        <v>435</v>
      </c>
      <c r="C6" s="1">
        <v>1</v>
      </c>
      <c r="D6" s="1"/>
      <c r="E6" s="1"/>
      <c r="F6" s="1"/>
      <c r="G6" s="122">
        <v>3</v>
      </c>
      <c r="H6" s="122">
        <v>6</v>
      </c>
      <c r="I6" s="122">
        <f>2*Table2[[#This Row],[Minimum SRM]]</f>
        <v>6</v>
      </c>
      <c r="J6" s="122">
        <f>2*Table2[[#This Row],[Minimum EBC]]</f>
        <v>12</v>
      </c>
      <c r="K6" s="122">
        <v>4</v>
      </c>
      <c r="L6" s="122">
        <v>5.5</v>
      </c>
      <c r="M6" s="122">
        <v>1.04</v>
      </c>
      <c r="N6" s="122">
        <v>1.0549999999999999</v>
      </c>
      <c r="O6" s="122">
        <v>1.008</v>
      </c>
      <c r="P6" s="122">
        <v>1.0129999999999999</v>
      </c>
      <c r="Q6" s="122">
        <v>15</v>
      </c>
      <c r="R6" s="122">
        <v>30</v>
      </c>
      <c r="S6" s="122">
        <f t="shared" si="0"/>
        <v>4.5</v>
      </c>
      <c r="T6" s="122">
        <f>Table2[[#This Row],[Average SRM]]*2</f>
        <v>9</v>
      </c>
      <c r="U6" s="122">
        <f t="shared" si="1"/>
        <v>4.75</v>
      </c>
      <c r="V6" s="122">
        <f t="shared" si="2"/>
        <v>1.0474999999999999</v>
      </c>
      <c r="W6" s="122">
        <f t="shared" si="3"/>
        <v>1.0105</v>
      </c>
      <c r="X6" s="122">
        <f t="shared" si="4"/>
        <v>22.5</v>
      </c>
      <c r="Y6" s="122">
        <f t="shared" si="5"/>
        <v>0.47</v>
      </c>
    </row>
    <row r="7" spans="1:25">
      <c r="A7" s="122" t="s">
        <v>439</v>
      </c>
      <c r="B7" s="122" t="s">
        <v>440</v>
      </c>
      <c r="C7" s="1">
        <v>1</v>
      </c>
      <c r="D7" s="1"/>
      <c r="E7" s="1"/>
      <c r="F7" s="1"/>
      <c r="G7" s="122">
        <v>2</v>
      </c>
      <c r="H7" s="122">
        <v>6</v>
      </c>
      <c r="I7" s="122">
        <f>2*Table2[[#This Row],[Minimum SRM]]</f>
        <v>4</v>
      </c>
      <c r="J7" s="122">
        <f>2*Table2[[#This Row],[Minimum EBC]]</f>
        <v>8</v>
      </c>
      <c r="K7" s="122">
        <v>4.5999999999999996</v>
      </c>
      <c r="L7" s="122">
        <v>6</v>
      </c>
      <c r="M7" s="122">
        <v>1.042</v>
      </c>
      <c r="N7" s="122">
        <v>1.05</v>
      </c>
      <c r="O7" s="122">
        <v>1.008</v>
      </c>
      <c r="P7" s="122">
        <v>1.012</v>
      </c>
      <c r="Q7" s="122">
        <v>18</v>
      </c>
      <c r="R7" s="122">
        <v>25</v>
      </c>
      <c r="S7" s="122">
        <f t="shared" si="0"/>
        <v>4</v>
      </c>
      <c r="T7" s="122">
        <f>Table2[[#This Row],[Average SRM]]*2</f>
        <v>8</v>
      </c>
      <c r="U7" s="122">
        <f t="shared" si="1"/>
        <v>5.3</v>
      </c>
      <c r="V7" s="122">
        <f t="shared" si="2"/>
        <v>1.046</v>
      </c>
      <c r="W7" s="122">
        <f t="shared" si="3"/>
        <v>1.01</v>
      </c>
      <c r="X7" s="122">
        <f t="shared" si="4"/>
        <v>21.5</v>
      </c>
      <c r="Y7" s="122">
        <f t="shared" si="5"/>
        <v>0.47</v>
      </c>
    </row>
    <row r="8" spans="1:25">
      <c r="A8" s="122" t="s">
        <v>441</v>
      </c>
      <c r="B8" s="122" t="s">
        <v>440</v>
      </c>
      <c r="C8" s="1"/>
      <c r="D8" s="1">
        <v>1</v>
      </c>
      <c r="E8" s="1"/>
      <c r="F8" s="1"/>
      <c r="G8" s="122">
        <v>7</v>
      </c>
      <c r="H8" s="122">
        <v>14</v>
      </c>
      <c r="I8" s="122">
        <f>2*Table2[[#This Row],[Minimum SRM]]</f>
        <v>14</v>
      </c>
      <c r="J8" s="122">
        <f>2*Table2[[#This Row],[Minimum EBC]]</f>
        <v>28</v>
      </c>
      <c r="K8" s="122">
        <v>4.5999999999999996</v>
      </c>
      <c r="L8" s="122">
        <v>6</v>
      </c>
      <c r="M8" s="122">
        <v>1.042</v>
      </c>
      <c r="N8" s="122">
        <v>1.0549999999999999</v>
      </c>
      <c r="O8" s="122">
        <v>1.008</v>
      </c>
      <c r="P8" s="122">
        <v>1.014</v>
      </c>
      <c r="Q8" s="122">
        <v>8</v>
      </c>
      <c r="R8" s="122">
        <v>25</v>
      </c>
      <c r="S8" s="122">
        <f t="shared" si="0"/>
        <v>10.5</v>
      </c>
      <c r="T8" s="122">
        <f>Table2[[#This Row],[Average SRM]]*2</f>
        <v>21</v>
      </c>
      <c r="U8" s="122">
        <f t="shared" si="1"/>
        <v>5.3</v>
      </c>
      <c r="V8" s="122">
        <f t="shared" si="2"/>
        <v>1.0485</v>
      </c>
      <c r="W8" s="122">
        <f t="shared" si="3"/>
        <v>1.0110000000000001</v>
      </c>
      <c r="X8" s="122">
        <f t="shared" si="4"/>
        <v>16.5</v>
      </c>
      <c r="Y8" s="122">
        <f t="shared" si="5"/>
        <v>0.34</v>
      </c>
    </row>
    <row r="9" spans="1:25">
      <c r="A9" s="122" t="s">
        <v>442</v>
      </c>
      <c r="B9" s="122" t="s">
        <v>440</v>
      </c>
      <c r="C9" s="1"/>
      <c r="D9" s="1">
        <v>1</v>
      </c>
      <c r="E9" s="1"/>
      <c r="F9" s="1"/>
      <c r="G9" s="122">
        <v>14</v>
      </c>
      <c r="H9" s="122">
        <v>22</v>
      </c>
      <c r="I9" s="122">
        <f>2*Table2[[#This Row],[Minimum SRM]]</f>
        <v>28</v>
      </c>
      <c r="J9" s="122">
        <f>2*Table2[[#This Row],[Minimum EBC]]</f>
        <v>56</v>
      </c>
      <c r="K9" s="122">
        <v>4.2</v>
      </c>
      <c r="L9" s="122">
        <v>6</v>
      </c>
      <c r="M9" s="122">
        <v>1.044</v>
      </c>
      <c r="N9" s="122">
        <v>1.056</v>
      </c>
      <c r="O9" s="122">
        <v>1.008</v>
      </c>
      <c r="P9" s="122">
        <v>1.012</v>
      </c>
      <c r="Q9" s="122">
        <v>8</v>
      </c>
      <c r="R9" s="122">
        <v>20</v>
      </c>
      <c r="S9" s="122">
        <f t="shared" si="0"/>
        <v>18</v>
      </c>
      <c r="T9" s="122">
        <f>Table2[[#This Row],[Average SRM]]*2</f>
        <v>36</v>
      </c>
      <c r="U9" s="122">
        <f t="shared" si="1"/>
        <v>5.0999999999999996</v>
      </c>
      <c r="V9" s="122">
        <f t="shared" si="2"/>
        <v>1.05</v>
      </c>
      <c r="W9" s="122">
        <f t="shared" si="3"/>
        <v>1.01</v>
      </c>
      <c r="X9" s="122">
        <f t="shared" si="4"/>
        <v>14</v>
      </c>
      <c r="Y9" s="122">
        <f t="shared" si="5"/>
        <v>0.28000000000000003</v>
      </c>
    </row>
    <row r="10" spans="1:25">
      <c r="A10" s="122" t="s">
        <v>443</v>
      </c>
      <c r="B10" s="122" t="s">
        <v>444</v>
      </c>
      <c r="C10" s="1"/>
      <c r="D10" s="1"/>
      <c r="E10" s="1"/>
      <c r="F10" s="1">
        <v>1</v>
      </c>
      <c r="G10" s="122">
        <v>3</v>
      </c>
      <c r="H10" s="122">
        <v>6</v>
      </c>
      <c r="I10" s="122">
        <f>2*Table2[[#This Row],[Minimum SRM]]</f>
        <v>6</v>
      </c>
      <c r="J10" s="122">
        <f>2*Table2[[#This Row],[Minimum EBC]]</f>
        <v>12</v>
      </c>
      <c r="K10" s="122">
        <v>3</v>
      </c>
      <c r="L10" s="122">
        <v>4.0999999999999996</v>
      </c>
      <c r="M10" s="122">
        <v>1.028</v>
      </c>
      <c r="N10" s="122">
        <v>1.044</v>
      </c>
      <c r="O10" s="122">
        <v>1.008</v>
      </c>
      <c r="P10" s="122">
        <v>1.014</v>
      </c>
      <c r="Q10" s="122">
        <v>20</v>
      </c>
      <c r="R10" s="122">
        <v>35</v>
      </c>
      <c r="S10" s="122">
        <f t="shared" si="0"/>
        <v>4.5</v>
      </c>
      <c r="T10" s="122">
        <f>Table2[[#This Row],[Average SRM]]*2</f>
        <v>9</v>
      </c>
      <c r="U10" s="122">
        <f t="shared" si="1"/>
        <v>3.55</v>
      </c>
      <c r="V10" s="122">
        <f t="shared" si="2"/>
        <v>1.036</v>
      </c>
      <c r="W10" s="122">
        <f t="shared" si="3"/>
        <v>1.0110000000000001</v>
      </c>
      <c r="X10" s="122">
        <f t="shared" si="4"/>
        <v>27.5</v>
      </c>
      <c r="Y10" s="122">
        <f t="shared" si="5"/>
        <v>0.76</v>
      </c>
    </row>
    <row r="11" spans="1:25">
      <c r="A11" s="122" t="s">
        <v>445</v>
      </c>
      <c r="B11" s="122" t="s">
        <v>444</v>
      </c>
      <c r="C11" s="1">
        <v>1</v>
      </c>
      <c r="D11" s="1"/>
      <c r="E11" s="1"/>
      <c r="F11" s="1"/>
      <c r="G11" s="122">
        <v>3.5</v>
      </c>
      <c r="H11" s="122">
        <v>6</v>
      </c>
      <c r="I11" s="122">
        <f>2*Table2[[#This Row],[Minimum SRM]]</f>
        <v>7</v>
      </c>
      <c r="J11" s="122">
        <f>2*Table2[[#This Row],[Minimum EBC]]</f>
        <v>14</v>
      </c>
      <c r="K11" s="122">
        <v>4.2</v>
      </c>
      <c r="L11" s="122">
        <v>5.8</v>
      </c>
      <c r="M11" s="122">
        <v>1.044</v>
      </c>
      <c r="N11" s="122">
        <v>1.06</v>
      </c>
      <c r="O11" s="122">
        <v>1.0129999999999999</v>
      </c>
      <c r="P11" s="122">
        <v>1.0169999999999999</v>
      </c>
      <c r="Q11" s="122">
        <v>30</v>
      </c>
      <c r="R11" s="122">
        <v>45</v>
      </c>
      <c r="S11" s="122">
        <f t="shared" si="0"/>
        <v>4.75</v>
      </c>
      <c r="T11" s="122">
        <f>Table2[[#This Row],[Average SRM]]*2</f>
        <v>9.5</v>
      </c>
      <c r="U11" s="122">
        <f t="shared" si="1"/>
        <v>5</v>
      </c>
      <c r="V11" s="122">
        <f t="shared" si="2"/>
        <v>1.052</v>
      </c>
      <c r="W11" s="122">
        <f t="shared" si="3"/>
        <v>1.0149999999999999</v>
      </c>
      <c r="X11" s="122">
        <f t="shared" si="4"/>
        <v>37.5</v>
      </c>
      <c r="Y11" s="122">
        <f t="shared" si="5"/>
        <v>0.72</v>
      </c>
    </row>
    <row r="12" spans="1:25">
      <c r="A12" s="122" t="s">
        <v>446</v>
      </c>
      <c r="B12" s="122" t="s">
        <v>444</v>
      </c>
      <c r="C12" s="1">
        <v>1</v>
      </c>
      <c r="D12" s="1"/>
      <c r="E12" s="1"/>
      <c r="F12" s="1"/>
      <c r="G12" s="122">
        <v>10</v>
      </c>
      <c r="H12" s="122">
        <v>16</v>
      </c>
      <c r="I12" s="122">
        <f>2*Table2[[#This Row],[Minimum SRM]]</f>
        <v>20</v>
      </c>
      <c r="J12" s="122">
        <f>2*Table2[[#This Row],[Minimum EBC]]</f>
        <v>40</v>
      </c>
      <c r="K12" s="122">
        <v>4.4000000000000004</v>
      </c>
      <c r="L12" s="122">
        <v>5.8</v>
      </c>
      <c r="M12" s="122">
        <v>1.044</v>
      </c>
      <c r="N12" s="122">
        <v>1.06</v>
      </c>
      <c r="O12" s="122">
        <v>1.0129999999999999</v>
      </c>
      <c r="P12" s="122">
        <v>1.0169999999999999</v>
      </c>
      <c r="Q12" s="122">
        <v>20</v>
      </c>
      <c r="R12" s="122">
        <v>35</v>
      </c>
      <c r="S12" s="122">
        <f t="shared" si="0"/>
        <v>13</v>
      </c>
      <c r="T12" s="122">
        <f>Table2[[#This Row],[Average SRM]]*2</f>
        <v>26</v>
      </c>
      <c r="U12" s="122">
        <f t="shared" si="1"/>
        <v>5.0999999999999996</v>
      </c>
      <c r="V12" s="122">
        <f t="shared" si="2"/>
        <v>1.052</v>
      </c>
      <c r="W12" s="122">
        <f t="shared" si="3"/>
        <v>1.0149999999999999</v>
      </c>
      <c r="X12" s="122">
        <f t="shared" si="4"/>
        <v>27.5</v>
      </c>
      <c r="Y12" s="122">
        <f t="shared" si="5"/>
        <v>0.53</v>
      </c>
    </row>
    <row r="13" spans="1:25">
      <c r="A13" s="122" t="s">
        <v>447</v>
      </c>
      <c r="B13" s="122" t="s">
        <v>444</v>
      </c>
      <c r="C13" s="1">
        <v>1</v>
      </c>
      <c r="D13" s="1"/>
      <c r="E13" s="1"/>
      <c r="F13" s="1"/>
      <c r="G13" s="122">
        <v>14</v>
      </c>
      <c r="H13" s="122">
        <v>35</v>
      </c>
      <c r="I13" s="122">
        <f>2*Table2[[#This Row],[Minimum SRM]]</f>
        <v>28</v>
      </c>
      <c r="J13" s="122">
        <f>2*Table2[[#This Row],[Minimum EBC]]</f>
        <v>56</v>
      </c>
      <c r="K13" s="122">
        <v>4.4000000000000004</v>
      </c>
      <c r="L13" s="122">
        <v>5.8</v>
      </c>
      <c r="M13" s="122">
        <v>1.044</v>
      </c>
      <c r="N13" s="122">
        <v>1.06</v>
      </c>
      <c r="O13" s="122">
        <v>1.0129999999999999</v>
      </c>
      <c r="P13" s="122">
        <v>1.0169999999999999</v>
      </c>
      <c r="Q13" s="122">
        <v>18</v>
      </c>
      <c r="R13" s="122">
        <v>34</v>
      </c>
      <c r="S13" s="122">
        <f t="shared" si="0"/>
        <v>24.5</v>
      </c>
      <c r="T13" s="122">
        <f>Table2[[#This Row],[Average SRM]]*2</f>
        <v>49</v>
      </c>
      <c r="U13" s="122">
        <f t="shared" si="1"/>
        <v>5.0999999999999996</v>
      </c>
      <c r="V13" s="122">
        <f t="shared" si="2"/>
        <v>1.052</v>
      </c>
      <c r="W13" s="122">
        <f t="shared" si="3"/>
        <v>1.0149999999999999</v>
      </c>
      <c r="X13" s="122">
        <f t="shared" si="4"/>
        <v>26</v>
      </c>
      <c r="Y13" s="122">
        <f t="shared" si="5"/>
        <v>0.5</v>
      </c>
    </row>
    <row r="14" spans="1:25">
      <c r="A14" s="122" t="s">
        <v>448</v>
      </c>
      <c r="B14" s="122" t="s">
        <v>449</v>
      </c>
      <c r="C14" s="1"/>
      <c r="D14" s="1">
        <v>1</v>
      </c>
      <c r="E14" s="1"/>
      <c r="F14" s="1"/>
      <c r="G14" s="122">
        <v>3</v>
      </c>
      <c r="H14" s="122">
        <v>5</v>
      </c>
      <c r="I14" s="122">
        <f>2*Table2[[#This Row],[Minimum SRM]]</f>
        <v>6</v>
      </c>
      <c r="J14" s="122">
        <f>2*Table2[[#This Row],[Minimum EBC]]</f>
        <v>12</v>
      </c>
      <c r="K14" s="122">
        <v>4.7</v>
      </c>
      <c r="L14" s="122">
        <v>5.4</v>
      </c>
      <c r="M14" s="122">
        <v>1.044</v>
      </c>
      <c r="N14" s="122">
        <v>1.048</v>
      </c>
      <c r="O14" s="122">
        <v>1.006</v>
      </c>
      <c r="P14" s="122">
        <v>1.012</v>
      </c>
      <c r="Q14" s="122">
        <v>16</v>
      </c>
      <c r="R14" s="122">
        <v>22</v>
      </c>
      <c r="S14" s="122">
        <f t="shared" si="0"/>
        <v>4</v>
      </c>
      <c r="T14" s="122">
        <f>Table2[[#This Row],[Average SRM]]*2</f>
        <v>8</v>
      </c>
      <c r="U14" s="122">
        <f t="shared" si="1"/>
        <v>5.0500000000000007</v>
      </c>
      <c r="V14" s="122">
        <f t="shared" si="2"/>
        <v>1.046</v>
      </c>
      <c r="W14" s="122">
        <f t="shared" si="3"/>
        <v>1.0089999999999999</v>
      </c>
      <c r="X14" s="122">
        <f t="shared" si="4"/>
        <v>19</v>
      </c>
      <c r="Y14" s="122">
        <f t="shared" si="5"/>
        <v>0.41</v>
      </c>
    </row>
    <row r="15" spans="1:25">
      <c r="A15" s="122" t="s">
        <v>450</v>
      </c>
      <c r="B15" s="122" t="s">
        <v>449</v>
      </c>
      <c r="C15" s="1"/>
      <c r="D15" s="1">
        <v>1</v>
      </c>
      <c r="E15" s="1"/>
      <c r="F15" s="1"/>
      <c r="G15" s="122">
        <v>6</v>
      </c>
      <c r="H15" s="122">
        <v>11</v>
      </c>
      <c r="I15" s="122">
        <f>2*Table2[[#This Row],[Minimum SRM]]</f>
        <v>12</v>
      </c>
      <c r="J15" s="122">
        <f>2*Table2[[#This Row],[Minimum EBC]]</f>
        <v>24</v>
      </c>
      <c r="K15" s="122">
        <v>6.3</v>
      </c>
      <c r="L15" s="122">
        <v>7.4</v>
      </c>
      <c r="M15" s="122">
        <v>1.0640000000000001</v>
      </c>
      <c r="N15" s="122">
        <v>1.0720000000000001</v>
      </c>
      <c r="O15" s="122">
        <v>1.0109999999999999</v>
      </c>
      <c r="P15" s="122">
        <v>1.018</v>
      </c>
      <c r="Q15" s="122">
        <v>23</v>
      </c>
      <c r="R15" s="122">
        <v>35</v>
      </c>
      <c r="S15" s="122">
        <f t="shared" si="0"/>
        <v>8.5</v>
      </c>
      <c r="T15" s="122">
        <f>Table2[[#This Row],[Average SRM]]*2</f>
        <v>17</v>
      </c>
      <c r="U15" s="122">
        <f t="shared" si="1"/>
        <v>6.85</v>
      </c>
      <c r="V15" s="122">
        <f t="shared" si="2"/>
        <v>1.0680000000000001</v>
      </c>
      <c r="W15" s="122">
        <f t="shared" si="3"/>
        <v>1.0145</v>
      </c>
      <c r="X15" s="122">
        <f t="shared" si="4"/>
        <v>29</v>
      </c>
      <c r="Y15" s="122">
        <f t="shared" si="5"/>
        <v>0.43</v>
      </c>
    </row>
    <row r="16" spans="1:25">
      <c r="A16" s="122" t="s">
        <v>451</v>
      </c>
      <c r="B16" s="122" t="s">
        <v>449</v>
      </c>
      <c r="C16" s="1"/>
      <c r="D16" s="1">
        <v>1</v>
      </c>
      <c r="E16" s="1"/>
      <c r="F16" s="1"/>
      <c r="G16" s="122">
        <v>4</v>
      </c>
      <c r="H16" s="122">
        <v>7</v>
      </c>
      <c r="I16" s="122">
        <f>2*Table2[[#This Row],[Minimum SRM]]</f>
        <v>8</v>
      </c>
      <c r="J16" s="122">
        <f>2*Table2[[#This Row],[Minimum EBC]]</f>
        <v>16</v>
      </c>
      <c r="K16" s="122">
        <v>5.8</v>
      </c>
      <c r="L16" s="122">
        <v>6.3</v>
      </c>
      <c r="M16" s="122">
        <v>1.054</v>
      </c>
      <c r="N16" s="122">
        <v>1.0569999999999999</v>
      </c>
      <c r="O16" s="122">
        <v>1.01</v>
      </c>
      <c r="P16" s="122">
        <v>1.012</v>
      </c>
      <c r="Q16" s="122">
        <v>18</v>
      </c>
      <c r="R16" s="122">
        <v>25</v>
      </c>
      <c r="S16" s="122">
        <f t="shared" si="0"/>
        <v>5.5</v>
      </c>
      <c r="T16" s="122">
        <f>Table2[[#This Row],[Average SRM]]*2</f>
        <v>11</v>
      </c>
      <c r="U16" s="122">
        <f t="shared" si="1"/>
        <v>6.05</v>
      </c>
      <c r="V16" s="122">
        <f t="shared" si="2"/>
        <v>1.0554999999999999</v>
      </c>
      <c r="W16" s="122">
        <f t="shared" si="3"/>
        <v>1.0110000000000001</v>
      </c>
      <c r="X16" s="122">
        <f t="shared" si="4"/>
        <v>21.5</v>
      </c>
      <c r="Y16" s="122">
        <f t="shared" si="5"/>
        <v>0.39</v>
      </c>
    </row>
    <row r="17" spans="1:25">
      <c r="A17" s="122" t="s">
        <v>452</v>
      </c>
      <c r="B17" s="122" t="s">
        <v>453</v>
      </c>
      <c r="C17" s="1"/>
      <c r="D17" s="1"/>
      <c r="E17" s="1"/>
      <c r="F17" s="1">
        <v>1</v>
      </c>
      <c r="G17" s="122">
        <v>2</v>
      </c>
      <c r="H17" s="122">
        <v>5</v>
      </c>
      <c r="I17" s="122">
        <f>2*Table2[[#This Row],[Minimum SRM]]</f>
        <v>4</v>
      </c>
      <c r="J17" s="122">
        <f>2*Table2[[#This Row],[Minimum EBC]]</f>
        <v>8</v>
      </c>
      <c r="K17" s="122">
        <v>2.4</v>
      </c>
      <c r="L17" s="122">
        <v>3.6</v>
      </c>
      <c r="M17" s="122">
        <v>1.026</v>
      </c>
      <c r="N17" s="122">
        <v>1.034</v>
      </c>
      <c r="O17" s="122">
        <v>1.006</v>
      </c>
      <c r="P17" s="122">
        <v>1.01</v>
      </c>
      <c r="Q17" s="122">
        <v>15</v>
      </c>
      <c r="R17" s="122">
        <v>28</v>
      </c>
      <c r="S17" s="122">
        <f t="shared" si="0"/>
        <v>3.5</v>
      </c>
      <c r="T17" s="122">
        <f>Table2[[#This Row],[Average SRM]]*2</f>
        <v>7</v>
      </c>
      <c r="U17" s="122">
        <f t="shared" si="1"/>
        <v>3</v>
      </c>
      <c r="V17" s="122">
        <f t="shared" si="2"/>
        <v>1.03</v>
      </c>
      <c r="W17" s="122">
        <f t="shared" si="3"/>
        <v>1.008</v>
      </c>
      <c r="X17" s="122">
        <f t="shared" si="4"/>
        <v>21.5</v>
      </c>
      <c r="Y17" s="122">
        <f t="shared" si="5"/>
        <v>0.72</v>
      </c>
    </row>
    <row r="18" spans="1:25">
      <c r="A18" s="122" t="s">
        <v>454</v>
      </c>
      <c r="B18" s="122" t="s">
        <v>453</v>
      </c>
      <c r="C18" s="1">
        <v>1</v>
      </c>
      <c r="D18" s="1"/>
      <c r="E18" s="1"/>
      <c r="F18" s="1"/>
      <c r="G18" s="122">
        <v>3.5</v>
      </c>
      <c r="H18" s="122">
        <v>5</v>
      </c>
      <c r="I18" s="122">
        <f>2*Table2[[#This Row],[Minimum SRM]]</f>
        <v>7</v>
      </c>
      <c r="J18" s="122">
        <f>2*Table2[[#This Row],[Minimum EBC]]</f>
        <v>14</v>
      </c>
      <c r="K18" s="122">
        <v>4.4000000000000004</v>
      </c>
      <c r="L18" s="122">
        <v>5.2</v>
      </c>
      <c r="M18" s="122">
        <v>1.044</v>
      </c>
      <c r="N18" s="122">
        <v>1.05</v>
      </c>
      <c r="O18" s="122">
        <v>1.0069999999999999</v>
      </c>
      <c r="P18" s="122">
        <v>1.0109999999999999</v>
      </c>
      <c r="Q18" s="122">
        <v>18</v>
      </c>
      <c r="R18" s="122">
        <v>30</v>
      </c>
      <c r="S18" s="122">
        <f t="shared" si="0"/>
        <v>4.25</v>
      </c>
      <c r="T18" s="122">
        <f>Table2[[#This Row],[Average SRM]]*2</f>
        <v>8.5</v>
      </c>
      <c r="U18" s="122">
        <f t="shared" si="1"/>
        <v>4.8000000000000007</v>
      </c>
      <c r="V18" s="122">
        <f t="shared" si="2"/>
        <v>1.0470000000000002</v>
      </c>
      <c r="W18" s="122">
        <f t="shared" si="3"/>
        <v>1.0089999999999999</v>
      </c>
      <c r="X18" s="122">
        <f t="shared" si="4"/>
        <v>24</v>
      </c>
      <c r="Y18" s="122">
        <f t="shared" si="5"/>
        <v>0.51</v>
      </c>
    </row>
    <row r="19" spans="1:25">
      <c r="A19" s="122" t="s">
        <v>455</v>
      </c>
      <c r="B19" s="122" t="s">
        <v>453</v>
      </c>
      <c r="C19" s="1">
        <v>1</v>
      </c>
      <c r="D19" s="1"/>
      <c r="E19" s="1"/>
      <c r="F19" s="1"/>
      <c r="G19" s="122">
        <v>4</v>
      </c>
      <c r="H19" s="122">
        <v>7</v>
      </c>
      <c r="I19" s="122">
        <f>2*Table2[[#This Row],[Minimum SRM]]</f>
        <v>8</v>
      </c>
      <c r="J19" s="122">
        <f>2*Table2[[#This Row],[Minimum EBC]]</f>
        <v>16</v>
      </c>
      <c r="K19" s="122">
        <v>4.8</v>
      </c>
      <c r="L19" s="122">
        <v>6</v>
      </c>
      <c r="M19" s="122">
        <v>1.048</v>
      </c>
      <c r="N19" s="122">
        <v>1.056</v>
      </c>
      <c r="O19" s="122">
        <v>1.01</v>
      </c>
      <c r="P19" s="122">
        <v>1.0149999999999999</v>
      </c>
      <c r="Q19" s="122">
        <v>20</v>
      </c>
      <c r="R19" s="122">
        <v>30</v>
      </c>
      <c r="S19" s="122">
        <f t="shared" si="0"/>
        <v>5.5</v>
      </c>
      <c r="T19" s="122">
        <f>Table2[[#This Row],[Average SRM]]*2</f>
        <v>11</v>
      </c>
      <c r="U19" s="122">
        <f t="shared" si="1"/>
        <v>5.4</v>
      </c>
      <c r="V19" s="122">
        <f t="shared" si="2"/>
        <v>1.052</v>
      </c>
      <c r="W19" s="122">
        <f t="shared" si="3"/>
        <v>1.0125</v>
      </c>
      <c r="X19" s="122">
        <f t="shared" si="4"/>
        <v>25</v>
      </c>
      <c r="Y19" s="122">
        <f t="shared" si="5"/>
        <v>0.48</v>
      </c>
    </row>
    <row r="20" spans="1:25">
      <c r="A20" s="122" t="s">
        <v>456</v>
      </c>
      <c r="B20" s="122" t="s">
        <v>453</v>
      </c>
      <c r="C20" s="1"/>
      <c r="D20" s="1"/>
      <c r="E20" s="1"/>
      <c r="F20" s="1">
        <v>1</v>
      </c>
      <c r="G20" s="122">
        <v>2</v>
      </c>
      <c r="H20" s="122">
        <v>5</v>
      </c>
      <c r="I20" s="122">
        <f>2*Table2[[#This Row],[Minimum SRM]]</f>
        <v>4</v>
      </c>
      <c r="J20" s="122">
        <f>2*Table2[[#This Row],[Minimum EBC]]</f>
        <v>8</v>
      </c>
      <c r="K20" s="122">
        <v>4.4000000000000004</v>
      </c>
      <c r="L20" s="122">
        <v>5.2</v>
      </c>
      <c r="M20" s="122">
        <v>1.044</v>
      </c>
      <c r="N20" s="122">
        <v>1.05</v>
      </c>
      <c r="O20" s="122">
        <v>1.008</v>
      </c>
      <c r="P20" s="122">
        <v>1.0129999999999999</v>
      </c>
      <c r="Q20" s="122">
        <v>22</v>
      </c>
      <c r="R20" s="122">
        <v>40</v>
      </c>
      <c r="S20" s="122">
        <f t="shared" si="0"/>
        <v>3.5</v>
      </c>
      <c r="T20" s="122">
        <f>Table2[[#This Row],[Average SRM]]*2</f>
        <v>7</v>
      </c>
      <c r="U20" s="122">
        <f t="shared" si="1"/>
        <v>4.8000000000000007</v>
      </c>
      <c r="V20" s="122">
        <f t="shared" si="2"/>
        <v>1.0470000000000002</v>
      </c>
      <c r="W20" s="122">
        <f t="shared" si="3"/>
        <v>1.0105</v>
      </c>
      <c r="X20" s="122">
        <f t="shared" si="4"/>
        <v>31</v>
      </c>
      <c r="Y20" s="122">
        <f t="shared" si="5"/>
        <v>0.66</v>
      </c>
    </row>
    <row r="21" spans="1:25">
      <c r="A21" s="122" t="s">
        <v>457</v>
      </c>
      <c r="B21" s="122" t="s">
        <v>458</v>
      </c>
      <c r="C21" s="1"/>
      <c r="D21" s="1">
        <v>1</v>
      </c>
      <c r="E21" s="1"/>
      <c r="F21" s="1"/>
      <c r="G21" s="122">
        <v>8</v>
      </c>
      <c r="H21" s="122">
        <v>17</v>
      </c>
      <c r="I21" s="122">
        <f>2*Table2[[#This Row],[Minimum SRM]]</f>
        <v>16</v>
      </c>
      <c r="J21" s="122">
        <f>2*Table2[[#This Row],[Minimum EBC]]</f>
        <v>32</v>
      </c>
      <c r="K21" s="122">
        <v>5.8</v>
      </c>
      <c r="L21" s="122">
        <v>6.3</v>
      </c>
      <c r="M21" s="122">
        <v>1.054</v>
      </c>
      <c r="N21" s="122">
        <v>1.06</v>
      </c>
      <c r="O21" s="122">
        <v>1.01</v>
      </c>
      <c r="P21" s="122">
        <v>1.014</v>
      </c>
      <c r="Q21" s="122">
        <v>18</v>
      </c>
      <c r="R21" s="122">
        <v>24</v>
      </c>
      <c r="S21" s="122">
        <f t="shared" si="0"/>
        <v>12.5</v>
      </c>
      <c r="T21" s="122">
        <f>Table2[[#This Row],[Average SRM]]*2</f>
        <v>25</v>
      </c>
      <c r="U21" s="122">
        <f t="shared" si="1"/>
        <v>6.05</v>
      </c>
      <c r="V21" s="122">
        <f t="shared" si="2"/>
        <v>1.0569999999999999</v>
      </c>
      <c r="W21" s="122">
        <f t="shared" si="3"/>
        <v>1.012</v>
      </c>
      <c r="X21" s="122">
        <f t="shared" si="4"/>
        <v>21</v>
      </c>
      <c r="Y21" s="122">
        <f t="shared" si="5"/>
        <v>0.37</v>
      </c>
    </row>
    <row r="22" spans="1:25">
      <c r="A22" s="122" t="s">
        <v>459</v>
      </c>
      <c r="B22" s="122" t="s">
        <v>458</v>
      </c>
      <c r="C22" s="1"/>
      <c r="D22" s="1">
        <v>1</v>
      </c>
      <c r="E22" s="1"/>
      <c r="F22" s="1"/>
      <c r="G22" s="122">
        <v>12</v>
      </c>
      <c r="H22" s="122">
        <v>22</v>
      </c>
      <c r="I22" s="122">
        <f>2*Table2[[#This Row],[Minimum SRM]]</f>
        <v>24</v>
      </c>
      <c r="J22" s="122">
        <f>2*Table2[[#This Row],[Minimum EBC]]</f>
        <v>48</v>
      </c>
      <c r="K22" s="122">
        <v>4.8</v>
      </c>
      <c r="L22" s="122">
        <v>6</v>
      </c>
      <c r="M22" s="122">
        <v>1.05</v>
      </c>
      <c r="N22" s="122">
        <v>1.0569999999999999</v>
      </c>
      <c r="O22" s="122">
        <v>1.012</v>
      </c>
      <c r="P22" s="122">
        <v>1.016</v>
      </c>
      <c r="Q22" s="122">
        <v>20</v>
      </c>
      <c r="R22" s="122">
        <v>30</v>
      </c>
      <c r="S22" s="122">
        <f t="shared" si="0"/>
        <v>17</v>
      </c>
      <c r="T22" s="122">
        <f>Table2[[#This Row],[Average SRM]]*2</f>
        <v>34</v>
      </c>
      <c r="U22" s="122">
        <f t="shared" si="1"/>
        <v>5.4</v>
      </c>
      <c r="V22" s="122">
        <f t="shared" si="2"/>
        <v>1.0535000000000001</v>
      </c>
      <c r="W22" s="122">
        <f t="shared" si="3"/>
        <v>1.014</v>
      </c>
      <c r="X22" s="122">
        <f t="shared" si="4"/>
        <v>25</v>
      </c>
      <c r="Y22" s="122">
        <f t="shared" si="5"/>
        <v>0.47</v>
      </c>
    </row>
    <row r="23" spans="1:25">
      <c r="A23" s="122" t="s">
        <v>460</v>
      </c>
      <c r="B23" s="122" t="s">
        <v>458</v>
      </c>
      <c r="C23" s="1"/>
      <c r="D23" s="1">
        <v>1</v>
      </c>
      <c r="E23" s="1"/>
      <c r="F23" s="1"/>
      <c r="G23" s="122">
        <v>14</v>
      </c>
      <c r="H23" s="122">
        <v>22</v>
      </c>
      <c r="I23" s="122">
        <f>2*Table2[[#This Row],[Minimum SRM]]</f>
        <v>28</v>
      </c>
      <c r="J23" s="122">
        <f>2*Table2[[#This Row],[Minimum EBC]]</f>
        <v>56</v>
      </c>
      <c r="K23" s="122">
        <v>6.3</v>
      </c>
      <c r="L23" s="122">
        <v>7.2</v>
      </c>
      <c r="M23" s="122">
        <v>1.0640000000000001</v>
      </c>
      <c r="N23" s="122">
        <v>1.0720000000000001</v>
      </c>
      <c r="O23" s="122">
        <v>1.0129999999999999</v>
      </c>
      <c r="P23" s="122">
        <v>1.0189999999999999</v>
      </c>
      <c r="Q23" s="122">
        <v>20</v>
      </c>
      <c r="R23" s="122">
        <v>27</v>
      </c>
      <c r="S23" s="122">
        <f t="shared" si="0"/>
        <v>18</v>
      </c>
      <c r="T23" s="122">
        <f>Table2[[#This Row],[Average SRM]]*2</f>
        <v>36</v>
      </c>
      <c r="U23" s="122">
        <f t="shared" si="1"/>
        <v>6.75</v>
      </c>
      <c r="V23" s="122">
        <f t="shared" si="2"/>
        <v>1.0680000000000001</v>
      </c>
      <c r="W23" s="122">
        <f t="shared" si="3"/>
        <v>1.016</v>
      </c>
      <c r="X23" s="122">
        <f t="shared" si="4"/>
        <v>23.5</v>
      </c>
      <c r="Y23" s="122">
        <f t="shared" si="5"/>
        <v>0.35</v>
      </c>
    </row>
    <row r="24" spans="1:25">
      <c r="A24" s="122" t="s">
        <v>461</v>
      </c>
      <c r="B24" s="122" t="s">
        <v>462</v>
      </c>
      <c r="C24" s="1">
        <v>1</v>
      </c>
      <c r="D24" s="1"/>
      <c r="E24" s="1"/>
      <c r="F24" s="1"/>
      <c r="G24" s="122">
        <v>9</v>
      </c>
      <c r="H24" s="122">
        <v>15</v>
      </c>
      <c r="I24" s="122">
        <f>2*Table2[[#This Row],[Minimum SRM]]</f>
        <v>18</v>
      </c>
      <c r="J24" s="122">
        <f>2*Table2[[#This Row],[Minimum EBC]]</f>
        <v>36</v>
      </c>
      <c r="K24" s="122">
        <v>4.7</v>
      </c>
      <c r="L24" s="122">
        <v>5.5</v>
      </c>
      <c r="M24" s="122">
        <v>1.048</v>
      </c>
      <c r="N24" s="122">
        <v>1.0549999999999999</v>
      </c>
      <c r="O24" s="122">
        <v>1.01</v>
      </c>
      <c r="P24" s="122">
        <v>1.014</v>
      </c>
      <c r="Q24" s="122">
        <v>18</v>
      </c>
      <c r="R24" s="122">
        <v>32</v>
      </c>
      <c r="S24" s="122">
        <f t="shared" si="0"/>
        <v>12</v>
      </c>
      <c r="T24" s="122">
        <f>Table2[[#This Row],[Average SRM]]*2</f>
        <v>24</v>
      </c>
      <c r="U24" s="122">
        <f t="shared" si="1"/>
        <v>5.0999999999999996</v>
      </c>
      <c r="V24" s="122">
        <f t="shared" si="2"/>
        <v>1.0514999999999999</v>
      </c>
      <c r="W24" s="122">
        <f t="shared" si="3"/>
        <v>1.012</v>
      </c>
      <c r="X24" s="122">
        <f t="shared" si="4"/>
        <v>25</v>
      </c>
      <c r="Y24" s="122">
        <f t="shared" si="5"/>
        <v>0.49</v>
      </c>
    </row>
    <row r="25" spans="1:25">
      <c r="A25" s="122" t="s">
        <v>463</v>
      </c>
      <c r="B25" s="122" t="s">
        <v>462</v>
      </c>
      <c r="C25" s="1"/>
      <c r="D25" s="1"/>
      <c r="E25" s="1"/>
      <c r="F25" s="1">
        <v>1</v>
      </c>
      <c r="G25" s="122">
        <v>11</v>
      </c>
      <c r="H25" s="122">
        <v>17</v>
      </c>
      <c r="I25" s="122">
        <f>2*Table2[[#This Row],[Minimum SRM]]</f>
        <v>22</v>
      </c>
      <c r="J25" s="122">
        <f>2*Table2[[#This Row],[Minimum EBC]]</f>
        <v>44</v>
      </c>
      <c r="K25" s="122">
        <v>4.3</v>
      </c>
      <c r="L25" s="122">
        <v>5.5</v>
      </c>
      <c r="M25" s="122">
        <v>1.044</v>
      </c>
      <c r="N25" s="122">
        <v>1.052</v>
      </c>
      <c r="O25" s="122">
        <v>1.008</v>
      </c>
      <c r="P25" s="122">
        <v>1.014</v>
      </c>
      <c r="Q25" s="122">
        <v>25</v>
      </c>
      <c r="R25" s="122">
        <v>50</v>
      </c>
      <c r="S25" s="122">
        <f t="shared" si="0"/>
        <v>14</v>
      </c>
      <c r="T25" s="122">
        <f>Table2[[#This Row],[Average SRM]]*2</f>
        <v>28</v>
      </c>
      <c r="U25" s="122">
        <f t="shared" si="1"/>
        <v>4.9000000000000004</v>
      </c>
      <c r="V25" s="122">
        <f t="shared" si="2"/>
        <v>1.048</v>
      </c>
      <c r="W25" s="122">
        <f t="shared" si="3"/>
        <v>1.0110000000000001</v>
      </c>
      <c r="X25" s="122">
        <f t="shared" si="4"/>
        <v>37.5</v>
      </c>
      <c r="Y25" s="122">
        <f t="shared" si="5"/>
        <v>0.78</v>
      </c>
    </row>
    <row r="26" spans="1:25">
      <c r="A26" s="122" t="s">
        <v>464</v>
      </c>
      <c r="B26" s="122" t="s">
        <v>462</v>
      </c>
      <c r="C26" s="1">
        <v>1</v>
      </c>
      <c r="D26" s="1"/>
      <c r="E26" s="1"/>
      <c r="F26" s="1"/>
      <c r="G26" s="122">
        <v>7</v>
      </c>
      <c r="H26" s="122">
        <v>17</v>
      </c>
      <c r="I26" s="122">
        <f>2*Table2[[#This Row],[Minimum SRM]]</f>
        <v>14</v>
      </c>
      <c r="J26" s="122">
        <f>2*Table2[[#This Row],[Minimum EBC]]</f>
        <v>28</v>
      </c>
      <c r="K26" s="122">
        <v>4.8</v>
      </c>
      <c r="L26" s="122">
        <v>5.4</v>
      </c>
      <c r="M26" s="122">
        <v>1.048</v>
      </c>
      <c r="N26" s="122">
        <v>1.054</v>
      </c>
      <c r="O26" s="122">
        <v>1.012</v>
      </c>
      <c r="P26" s="122">
        <v>1.016</v>
      </c>
      <c r="Q26" s="122">
        <v>25</v>
      </c>
      <c r="R26" s="122">
        <v>40</v>
      </c>
      <c r="S26" s="122">
        <f t="shared" si="0"/>
        <v>12</v>
      </c>
      <c r="T26" s="122">
        <f>Table2[[#This Row],[Average SRM]]*2</f>
        <v>24</v>
      </c>
      <c r="U26" s="122">
        <f t="shared" si="1"/>
        <v>5.0999999999999996</v>
      </c>
      <c r="V26" s="122">
        <f t="shared" si="2"/>
        <v>1.0510000000000002</v>
      </c>
      <c r="W26" s="122">
        <f t="shared" si="3"/>
        <v>1.014</v>
      </c>
      <c r="X26" s="122">
        <f t="shared" si="4"/>
        <v>32.5</v>
      </c>
      <c r="Y26" s="122">
        <f t="shared" si="5"/>
        <v>0.64</v>
      </c>
    </row>
    <row r="27" spans="1:25">
      <c r="A27" s="122" t="s">
        <v>465</v>
      </c>
      <c r="B27" s="122" t="s">
        <v>462</v>
      </c>
      <c r="C27" s="1">
        <v>1</v>
      </c>
      <c r="D27" s="1"/>
      <c r="E27" s="1"/>
      <c r="F27" s="1"/>
      <c r="G27" s="122">
        <v>3</v>
      </c>
      <c r="H27" s="122">
        <v>7</v>
      </c>
      <c r="I27" s="122">
        <f>2*Table2[[#This Row],[Minimum SRM]]</f>
        <v>6</v>
      </c>
      <c r="J27" s="122">
        <f>2*Table2[[#This Row],[Minimum EBC]]</f>
        <v>12</v>
      </c>
      <c r="K27" s="122">
        <v>4.7</v>
      </c>
      <c r="L27" s="122">
        <v>5.4</v>
      </c>
      <c r="M27" s="122">
        <v>1.0449999999999999</v>
      </c>
      <c r="N27" s="122">
        <v>1.0509999999999999</v>
      </c>
      <c r="O27" s="122">
        <v>1.008</v>
      </c>
      <c r="P27" s="122">
        <v>1.012</v>
      </c>
      <c r="Q27" s="122">
        <v>20</v>
      </c>
      <c r="R27" s="122">
        <v>35</v>
      </c>
      <c r="S27" s="122">
        <f t="shared" si="0"/>
        <v>5</v>
      </c>
      <c r="T27" s="122">
        <f>Table2[[#This Row],[Average SRM]]*2</f>
        <v>10</v>
      </c>
      <c r="U27" s="122">
        <f t="shared" si="1"/>
        <v>5.0500000000000007</v>
      </c>
      <c r="V27" s="122">
        <f t="shared" si="2"/>
        <v>1.048</v>
      </c>
      <c r="W27" s="122">
        <f t="shared" si="3"/>
        <v>1.01</v>
      </c>
      <c r="X27" s="122">
        <f t="shared" si="4"/>
        <v>27.5</v>
      </c>
      <c r="Y27" s="122">
        <f t="shared" si="5"/>
        <v>0.56999999999999995</v>
      </c>
    </row>
    <row r="28" spans="1:25">
      <c r="A28" s="122" t="s">
        <v>466</v>
      </c>
      <c r="B28" s="122" t="s">
        <v>467</v>
      </c>
      <c r="C28" s="1"/>
      <c r="D28" s="1">
        <v>1</v>
      </c>
      <c r="E28" s="1"/>
      <c r="F28" s="1"/>
      <c r="G28" s="122">
        <v>14</v>
      </c>
      <c r="H28" s="122">
        <v>28</v>
      </c>
      <c r="I28" s="122">
        <f>2*Table2[[#This Row],[Minimum SRM]]</f>
        <v>28</v>
      </c>
      <c r="J28" s="122">
        <f>2*Table2[[#This Row],[Minimum EBC]]</f>
        <v>56</v>
      </c>
      <c r="K28" s="122">
        <v>4.5</v>
      </c>
      <c r="L28" s="122">
        <v>5.6</v>
      </c>
      <c r="M28" s="122">
        <v>1.048</v>
      </c>
      <c r="N28" s="122">
        <v>1.056</v>
      </c>
      <c r="O28" s="122">
        <v>1.01</v>
      </c>
      <c r="P28" s="122">
        <v>1.016</v>
      </c>
      <c r="Q28" s="122">
        <v>18</v>
      </c>
      <c r="R28" s="122">
        <v>28</v>
      </c>
      <c r="S28" s="122">
        <f t="shared" si="0"/>
        <v>21</v>
      </c>
      <c r="T28" s="122">
        <f>Table2[[#This Row],[Average SRM]]*2</f>
        <v>42</v>
      </c>
      <c r="U28" s="122">
        <f t="shared" si="1"/>
        <v>5.05</v>
      </c>
      <c r="V28" s="122">
        <f t="shared" si="2"/>
        <v>1.052</v>
      </c>
      <c r="W28" s="122">
        <f t="shared" si="3"/>
        <v>1.0129999999999999</v>
      </c>
      <c r="X28" s="122">
        <f t="shared" si="4"/>
        <v>23</v>
      </c>
      <c r="Y28" s="122">
        <f t="shared" si="5"/>
        <v>0.44</v>
      </c>
    </row>
    <row r="29" spans="1:25">
      <c r="A29" s="122" t="s">
        <v>468</v>
      </c>
      <c r="B29" s="122" t="s">
        <v>467</v>
      </c>
      <c r="C29" s="1">
        <v>1</v>
      </c>
      <c r="D29" s="1"/>
      <c r="E29" s="1"/>
      <c r="F29" s="1"/>
      <c r="G29" s="122">
        <v>17</v>
      </c>
      <c r="H29" s="122">
        <v>30</v>
      </c>
      <c r="I29" s="122">
        <f>2*Table2[[#This Row],[Minimum SRM]]</f>
        <v>34</v>
      </c>
      <c r="J29" s="122">
        <f>2*Table2[[#This Row],[Minimum EBC]]</f>
        <v>68</v>
      </c>
      <c r="K29" s="122">
        <v>4.4000000000000004</v>
      </c>
      <c r="L29" s="122">
        <v>5.4</v>
      </c>
      <c r="M29" s="122">
        <v>1.046</v>
      </c>
      <c r="N29" s="122">
        <v>1.052</v>
      </c>
      <c r="O29" s="122">
        <v>1.01</v>
      </c>
      <c r="P29" s="122">
        <v>1.016</v>
      </c>
      <c r="Q29" s="122">
        <v>20</v>
      </c>
      <c r="R29" s="122">
        <v>30</v>
      </c>
      <c r="S29" s="122">
        <f t="shared" si="0"/>
        <v>23.5</v>
      </c>
      <c r="T29" s="122">
        <f>Table2[[#This Row],[Average SRM]]*2</f>
        <v>47</v>
      </c>
      <c r="U29" s="122">
        <f t="shared" si="1"/>
        <v>4.9000000000000004</v>
      </c>
      <c r="V29" s="122">
        <f t="shared" si="2"/>
        <v>1.0489999999999999</v>
      </c>
      <c r="W29" s="122">
        <f t="shared" si="3"/>
        <v>1.0129999999999999</v>
      </c>
      <c r="X29" s="122">
        <f t="shared" si="4"/>
        <v>25</v>
      </c>
      <c r="Y29" s="122">
        <f t="shared" si="5"/>
        <v>0.51</v>
      </c>
    </row>
    <row r="30" spans="1:25">
      <c r="A30" s="122" t="s">
        <v>469</v>
      </c>
      <c r="B30" s="122" t="s">
        <v>470</v>
      </c>
      <c r="C30" s="1"/>
      <c r="D30" s="1">
        <v>1</v>
      </c>
      <c r="E30" s="1"/>
      <c r="F30" s="1"/>
      <c r="G30" s="122">
        <v>6</v>
      </c>
      <c r="H30" s="122">
        <v>25</v>
      </c>
      <c r="I30" s="122">
        <f>2*Table2[[#This Row],[Minimum SRM]]</f>
        <v>12</v>
      </c>
      <c r="J30" s="122">
        <f>2*Table2[[#This Row],[Minimum EBC]]</f>
        <v>24</v>
      </c>
      <c r="K30" s="122">
        <v>7</v>
      </c>
      <c r="L30" s="122">
        <v>10</v>
      </c>
      <c r="M30" s="122">
        <v>1.0720000000000001</v>
      </c>
      <c r="N30" s="122">
        <v>1.1120000000000001</v>
      </c>
      <c r="O30" s="122">
        <v>1.016</v>
      </c>
      <c r="P30" s="122">
        <v>1.024</v>
      </c>
      <c r="Q30" s="122">
        <v>16</v>
      </c>
      <c r="R30" s="122">
        <v>26</v>
      </c>
      <c r="S30" s="122">
        <f t="shared" si="0"/>
        <v>15.5</v>
      </c>
      <c r="T30" s="122">
        <f>Table2[[#This Row],[Average SRM]]*2</f>
        <v>31</v>
      </c>
      <c r="U30" s="122">
        <f t="shared" si="1"/>
        <v>8.5</v>
      </c>
      <c r="V30" s="122">
        <f t="shared" si="2"/>
        <v>1.0920000000000001</v>
      </c>
      <c r="W30" s="122">
        <f t="shared" si="3"/>
        <v>1.02</v>
      </c>
      <c r="X30" s="122">
        <f t="shared" si="4"/>
        <v>21</v>
      </c>
      <c r="Y30" s="122">
        <f t="shared" si="5"/>
        <v>0.23</v>
      </c>
    </row>
    <row r="31" spans="1:25">
      <c r="A31" s="122" t="s">
        <v>471</v>
      </c>
      <c r="B31" s="122" t="s">
        <v>470</v>
      </c>
      <c r="C31" s="1"/>
      <c r="D31" s="1">
        <v>1</v>
      </c>
      <c r="E31" s="1"/>
      <c r="F31" s="1"/>
      <c r="G31" s="122">
        <v>18</v>
      </c>
      <c r="H31" s="122">
        <v>30</v>
      </c>
      <c r="I31" s="122">
        <f>2*Table2[[#This Row],[Minimum SRM]]</f>
        <v>36</v>
      </c>
      <c r="J31" s="122">
        <f>2*Table2[[#This Row],[Minimum EBC]]</f>
        <v>72</v>
      </c>
      <c r="K31" s="122">
        <v>9</v>
      </c>
      <c r="L31" s="122">
        <v>14</v>
      </c>
      <c r="M31" s="122">
        <v>1.0780000000000001</v>
      </c>
      <c r="N31" s="122">
        <v>1.1200000000000001</v>
      </c>
      <c r="O31" s="122">
        <v>1.02</v>
      </c>
      <c r="P31" s="122">
        <v>1.0349999999999999</v>
      </c>
      <c r="Q31" s="122">
        <v>25</v>
      </c>
      <c r="R31" s="122">
        <v>35</v>
      </c>
      <c r="S31" s="122">
        <f t="shared" si="0"/>
        <v>24</v>
      </c>
      <c r="T31" s="122">
        <f>Table2[[#This Row],[Average SRM]]*2</f>
        <v>48</v>
      </c>
      <c r="U31" s="122">
        <f t="shared" si="1"/>
        <v>11.5</v>
      </c>
      <c r="V31" s="122">
        <f t="shared" si="2"/>
        <v>1.0990000000000002</v>
      </c>
      <c r="W31" s="122">
        <f t="shared" si="3"/>
        <v>1.0274999999999999</v>
      </c>
      <c r="X31" s="122">
        <f t="shared" si="4"/>
        <v>30</v>
      </c>
      <c r="Y31" s="122">
        <f t="shared" si="5"/>
        <v>0.3</v>
      </c>
    </row>
    <row r="32" spans="1:25">
      <c r="A32" s="122" t="s">
        <v>472</v>
      </c>
      <c r="B32" s="122" t="s">
        <v>470</v>
      </c>
      <c r="C32" s="1"/>
      <c r="D32" s="1">
        <v>1</v>
      </c>
      <c r="E32" s="1"/>
      <c r="F32" s="1"/>
      <c r="G32" s="122">
        <v>17</v>
      </c>
      <c r="H32" s="122">
        <v>30</v>
      </c>
      <c r="I32" s="122">
        <f>2*Table2[[#This Row],[Minimum SRM]]</f>
        <v>34</v>
      </c>
      <c r="J32" s="122">
        <f>2*Table2[[#This Row],[Minimum EBC]]</f>
        <v>68</v>
      </c>
      <c r="K32" s="122">
        <v>6.5</v>
      </c>
      <c r="L32" s="122">
        <v>9.5</v>
      </c>
      <c r="M32" s="122">
        <v>1.06</v>
      </c>
      <c r="N32" s="122">
        <v>1.0900000000000001</v>
      </c>
      <c r="O32" s="122">
        <v>1.016</v>
      </c>
      <c r="P32" s="122">
        <v>1.024</v>
      </c>
      <c r="Q32" s="122">
        <v>20</v>
      </c>
      <c r="R32" s="122">
        <v>40</v>
      </c>
      <c r="S32" s="122">
        <f t="shared" si="0"/>
        <v>23.5</v>
      </c>
      <c r="T32" s="122">
        <f>Table2[[#This Row],[Average SRM]]*2</f>
        <v>47</v>
      </c>
      <c r="U32" s="122">
        <f t="shared" si="1"/>
        <v>8</v>
      </c>
      <c r="V32" s="122">
        <f t="shared" si="2"/>
        <v>1.0750000000000002</v>
      </c>
      <c r="W32" s="122">
        <f t="shared" si="3"/>
        <v>1.02</v>
      </c>
      <c r="X32" s="122">
        <f t="shared" si="4"/>
        <v>30</v>
      </c>
      <c r="Y32" s="122">
        <f t="shared" si="5"/>
        <v>0.4</v>
      </c>
    </row>
    <row r="33" spans="1:25">
      <c r="A33" s="122" t="s">
        <v>473</v>
      </c>
      <c r="B33" s="122" t="s">
        <v>375</v>
      </c>
      <c r="C33" s="1"/>
      <c r="D33" s="1">
        <v>1</v>
      </c>
      <c r="E33" s="1"/>
      <c r="F33" s="1"/>
      <c r="G33" s="122">
        <v>2</v>
      </c>
      <c r="H33" s="122">
        <v>6</v>
      </c>
      <c r="I33" s="122">
        <f>2*Table2[[#This Row],[Minimum SRM]]</f>
        <v>4</v>
      </c>
      <c r="J33" s="122">
        <f>2*Table2[[#This Row],[Minimum EBC]]</f>
        <v>8</v>
      </c>
      <c r="K33" s="122">
        <v>4.3</v>
      </c>
      <c r="L33" s="122">
        <v>5.6</v>
      </c>
      <c r="M33" s="122">
        <v>1.044</v>
      </c>
      <c r="N33" s="122">
        <v>1.052</v>
      </c>
      <c r="O33" s="122">
        <v>1.01</v>
      </c>
      <c r="P33" s="122">
        <v>1.014</v>
      </c>
      <c r="Q33" s="122">
        <v>8</v>
      </c>
      <c r="R33" s="122">
        <v>15</v>
      </c>
      <c r="S33" s="122">
        <f t="shared" si="0"/>
        <v>4</v>
      </c>
      <c r="T33" s="122">
        <f>Table2[[#This Row],[Average SRM]]*2</f>
        <v>8</v>
      </c>
      <c r="U33" s="122">
        <f t="shared" si="1"/>
        <v>4.9499999999999993</v>
      </c>
      <c r="V33" s="122">
        <f t="shared" si="2"/>
        <v>1.048</v>
      </c>
      <c r="W33" s="122">
        <f t="shared" si="3"/>
        <v>1.012</v>
      </c>
      <c r="X33" s="122">
        <f t="shared" si="4"/>
        <v>11.5</v>
      </c>
      <c r="Y33" s="122">
        <f t="shared" si="5"/>
        <v>0.24</v>
      </c>
    </row>
    <row r="34" spans="1:25">
      <c r="A34" s="122" t="s">
        <v>474</v>
      </c>
      <c r="B34" s="122" t="s">
        <v>375</v>
      </c>
      <c r="C34" s="1"/>
      <c r="D34" s="1">
        <v>1</v>
      </c>
      <c r="E34" s="1"/>
      <c r="F34" s="1"/>
      <c r="G34" s="122">
        <v>14</v>
      </c>
      <c r="H34" s="122">
        <v>23</v>
      </c>
      <c r="I34" s="122">
        <f>2*Table2[[#This Row],[Minimum SRM]]</f>
        <v>28</v>
      </c>
      <c r="J34" s="122">
        <f>2*Table2[[#This Row],[Minimum EBC]]</f>
        <v>56</v>
      </c>
      <c r="K34" s="122">
        <v>4.3</v>
      </c>
      <c r="L34" s="122">
        <v>5.6</v>
      </c>
      <c r="M34" s="122">
        <v>1.044</v>
      </c>
      <c r="N34" s="122">
        <v>1.056</v>
      </c>
      <c r="O34" s="122">
        <v>1.01</v>
      </c>
      <c r="P34" s="122">
        <v>1.014</v>
      </c>
      <c r="Q34" s="122">
        <v>10</v>
      </c>
      <c r="R34" s="122">
        <v>18</v>
      </c>
      <c r="S34" s="122">
        <f t="shared" si="0"/>
        <v>18.5</v>
      </c>
      <c r="T34" s="122">
        <f>Table2[[#This Row],[Average SRM]]*2</f>
        <v>37</v>
      </c>
      <c r="U34" s="122">
        <f t="shared" si="1"/>
        <v>4.9499999999999993</v>
      </c>
      <c r="V34" s="122">
        <f t="shared" si="2"/>
        <v>1.05</v>
      </c>
      <c r="W34" s="122">
        <f t="shared" si="3"/>
        <v>1.012</v>
      </c>
      <c r="X34" s="122">
        <f t="shared" si="4"/>
        <v>14</v>
      </c>
      <c r="Y34" s="122">
        <f t="shared" si="5"/>
        <v>0.28000000000000003</v>
      </c>
    </row>
    <row r="35" spans="1:25">
      <c r="A35" s="122" t="s">
        <v>475</v>
      </c>
      <c r="B35" s="122" t="s">
        <v>375</v>
      </c>
      <c r="C35" s="1"/>
      <c r="D35" s="1">
        <v>1</v>
      </c>
      <c r="E35" s="1"/>
      <c r="F35" s="1"/>
      <c r="G35" s="122">
        <v>6</v>
      </c>
      <c r="H35" s="122">
        <v>25</v>
      </c>
      <c r="I35" s="122">
        <f>2*Table2[[#This Row],[Minimum SRM]]</f>
        <v>12</v>
      </c>
      <c r="J35" s="122">
        <f>2*Table2[[#This Row],[Minimum EBC]]</f>
        <v>24</v>
      </c>
      <c r="K35" s="122">
        <v>6.5</v>
      </c>
      <c r="L35" s="122">
        <v>9</v>
      </c>
      <c r="M35" s="122">
        <v>1.0640000000000001</v>
      </c>
      <c r="N35" s="122">
        <v>1.0900000000000001</v>
      </c>
      <c r="O35" s="122">
        <v>1.0149999999999999</v>
      </c>
      <c r="P35" s="122">
        <v>1.022</v>
      </c>
      <c r="Q35" s="122">
        <v>15</v>
      </c>
      <c r="R35" s="122">
        <v>30</v>
      </c>
      <c r="S35" s="122">
        <f t="shared" ref="S35:S66" si="6">(G35+H35)/2</f>
        <v>15.5</v>
      </c>
      <c r="T35" s="122">
        <f>Table2[[#This Row],[Average SRM]]*2</f>
        <v>31</v>
      </c>
      <c r="U35" s="122">
        <f t="shared" ref="U35:U66" si="7">(K35+L35)/2</f>
        <v>7.75</v>
      </c>
      <c r="V35" s="122">
        <f t="shared" ref="V35:V66" si="8">(M35+N35)/2</f>
        <v>1.077</v>
      </c>
      <c r="W35" s="122">
        <f t="shared" ref="W35:W66" si="9">(O35+P35)/2</f>
        <v>1.0185</v>
      </c>
      <c r="X35" s="122">
        <f t="shared" ref="X35:X66" si="10">(Q35+R35)/2</f>
        <v>22.5</v>
      </c>
      <c r="Y35" s="122">
        <f t="shared" ref="Y35:Y66" si="11">ROUND((X35/(V35*1000-1000)),2)</f>
        <v>0.28999999999999998</v>
      </c>
    </row>
    <row r="36" spans="1:25">
      <c r="A36" s="122" t="s">
        <v>476</v>
      </c>
      <c r="B36" s="122" t="s">
        <v>477</v>
      </c>
      <c r="C36" s="1"/>
      <c r="D36" s="1"/>
      <c r="E36" s="1"/>
      <c r="F36" s="1">
        <v>1</v>
      </c>
      <c r="G36" s="122">
        <v>8</v>
      </c>
      <c r="H36" s="122">
        <v>14</v>
      </c>
      <c r="I36" s="122">
        <f>2*Table2[[#This Row],[Minimum SRM]]</f>
        <v>16</v>
      </c>
      <c r="J36" s="122">
        <f>2*Table2[[#This Row],[Minimum EBC]]</f>
        <v>32</v>
      </c>
      <c r="K36" s="122">
        <v>3.2</v>
      </c>
      <c r="L36" s="122">
        <v>3.8</v>
      </c>
      <c r="M36" s="122">
        <v>1.03</v>
      </c>
      <c r="N36" s="122">
        <v>1.0389999999999999</v>
      </c>
      <c r="O36" s="122">
        <v>1.0069999999999999</v>
      </c>
      <c r="P36" s="122">
        <v>1.0109999999999999</v>
      </c>
      <c r="Q36" s="122">
        <v>25</v>
      </c>
      <c r="R36" s="122">
        <v>35</v>
      </c>
      <c r="S36" s="122">
        <f t="shared" si="6"/>
        <v>11</v>
      </c>
      <c r="T36" s="122">
        <f>Table2[[#This Row],[Average SRM]]*2</f>
        <v>22</v>
      </c>
      <c r="U36" s="122">
        <f t="shared" si="7"/>
        <v>3.5</v>
      </c>
      <c r="V36" s="122">
        <f t="shared" si="8"/>
        <v>1.0345</v>
      </c>
      <c r="W36" s="122">
        <f t="shared" si="9"/>
        <v>1.0089999999999999</v>
      </c>
      <c r="X36" s="122">
        <f t="shared" si="10"/>
        <v>30</v>
      </c>
      <c r="Y36" s="122">
        <f t="shared" si="11"/>
        <v>0.87</v>
      </c>
    </row>
    <row r="37" spans="1:25">
      <c r="A37" s="122" t="s">
        <v>478</v>
      </c>
      <c r="B37" s="122" t="s">
        <v>477</v>
      </c>
      <c r="C37" s="1"/>
      <c r="D37" s="1"/>
      <c r="E37" s="1"/>
      <c r="F37" s="1">
        <v>1</v>
      </c>
      <c r="G37" s="122">
        <v>8</v>
      </c>
      <c r="H37" s="122">
        <v>16</v>
      </c>
      <c r="I37" s="122">
        <f>2*Table2[[#This Row],[Minimum SRM]]</f>
        <v>16</v>
      </c>
      <c r="J37" s="122">
        <f>2*Table2[[#This Row],[Minimum EBC]]</f>
        <v>32</v>
      </c>
      <c r="K37" s="122">
        <v>3.8</v>
      </c>
      <c r="L37" s="122">
        <v>4.5999999999999996</v>
      </c>
      <c r="M37" s="122">
        <v>1.04</v>
      </c>
      <c r="N37" s="122">
        <v>1.048</v>
      </c>
      <c r="O37" s="122">
        <v>1.008</v>
      </c>
      <c r="P37" s="122">
        <v>1.012</v>
      </c>
      <c r="Q37" s="122">
        <v>25</v>
      </c>
      <c r="R37" s="122">
        <v>40</v>
      </c>
      <c r="S37" s="122">
        <f t="shared" si="6"/>
        <v>12</v>
      </c>
      <c r="T37" s="122">
        <f>Table2[[#This Row],[Average SRM]]*2</f>
        <v>24</v>
      </c>
      <c r="U37" s="122">
        <f t="shared" si="7"/>
        <v>4.1999999999999993</v>
      </c>
      <c r="V37" s="122">
        <f t="shared" si="8"/>
        <v>1.044</v>
      </c>
      <c r="W37" s="122">
        <f t="shared" si="9"/>
        <v>1.01</v>
      </c>
      <c r="X37" s="122">
        <f t="shared" si="10"/>
        <v>32.5</v>
      </c>
      <c r="Y37" s="122">
        <f t="shared" si="11"/>
        <v>0.74</v>
      </c>
    </row>
    <row r="38" spans="1:25">
      <c r="A38" s="122" t="s">
        <v>479</v>
      </c>
      <c r="B38" s="122" t="s">
        <v>477</v>
      </c>
      <c r="C38" s="1"/>
      <c r="D38" s="1"/>
      <c r="E38" s="1"/>
      <c r="F38" s="1">
        <v>1</v>
      </c>
      <c r="G38" s="122">
        <v>8</v>
      </c>
      <c r="H38" s="122">
        <v>18</v>
      </c>
      <c r="I38" s="122">
        <f>2*Table2[[#This Row],[Minimum SRM]]</f>
        <v>16</v>
      </c>
      <c r="J38" s="122">
        <f>2*Table2[[#This Row],[Minimum EBC]]</f>
        <v>32</v>
      </c>
      <c r="K38" s="122">
        <v>4.5999999999999996</v>
      </c>
      <c r="L38" s="122">
        <v>6.2</v>
      </c>
      <c r="M38" s="122">
        <v>1.048</v>
      </c>
      <c r="N38" s="122">
        <v>1.06</v>
      </c>
      <c r="O38" s="122">
        <v>1.01</v>
      </c>
      <c r="P38" s="122">
        <v>1.016</v>
      </c>
      <c r="Q38" s="122">
        <v>30</v>
      </c>
      <c r="R38" s="122">
        <v>50</v>
      </c>
      <c r="S38" s="122">
        <f t="shared" si="6"/>
        <v>13</v>
      </c>
      <c r="T38" s="122">
        <f>Table2[[#This Row],[Average SRM]]*2</f>
        <v>26</v>
      </c>
      <c r="U38" s="122">
        <f t="shared" si="7"/>
        <v>5.4</v>
      </c>
      <c r="V38" s="122">
        <f t="shared" si="8"/>
        <v>1.054</v>
      </c>
      <c r="W38" s="122">
        <f t="shared" si="9"/>
        <v>1.0129999999999999</v>
      </c>
      <c r="X38" s="122">
        <f t="shared" si="10"/>
        <v>40</v>
      </c>
      <c r="Y38" s="122">
        <f t="shared" si="11"/>
        <v>0.74</v>
      </c>
    </row>
    <row r="39" spans="1:25">
      <c r="A39" s="122" t="s">
        <v>480</v>
      </c>
      <c r="B39" s="122" t="s">
        <v>481</v>
      </c>
      <c r="C39" s="1"/>
      <c r="D39" s="1"/>
      <c r="E39" s="1"/>
      <c r="F39" s="1">
        <v>1</v>
      </c>
      <c r="G39" s="122">
        <v>2</v>
      </c>
      <c r="H39" s="122">
        <v>6</v>
      </c>
      <c r="I39" s="122">
        <f>2*Table2[[#This Row],[Minimum SRM]]</f>
        <v>4</v>
      </c>
      <c r="J39" s="122">
        <f>2*Table2[[#This Row],[Minimum EBC]]</f>
        <v>8</v>
      </c>
      <c r="K39" s="122">
        <v>3.8</v>
      </c>
      <c r="L39" s="122">
        <v>5</v>
      </c>
      <c r="M39" s="122">
        <v>1.038</v>
      </c>
      <c r="N39" s="122">
        <v>1.0529999999999999</v>
      </c>
      <c r="O39" s="122">
        <v>1.006</v>
      </c>
      <c r="P39" s="122">
        <v>1.012</v>
      </c>
      <c r="Q39" s="122">
        <v>20</v>
      </c>
      <c r="R39" s="122">
        <v>45</v>
      </c>
      <c r="S39" s="122">
        <f t="shared" si="6"/>
        <v>4</v>
      </c>
      <c r="T39" s="122">
        <f>Table2[[#This Row],[Average SRM]]*2</f>
        <v>8</v>
      </c>
      <c r="U39" s="122">
        <f t="shared" si="7"/>
        <v>4.4000000000000004</v>
      </c>
      <c r="V39" s="122">
        <f t="shared" si="8"/>
        <v>1.0455000000000001</v>
      </c>
      <c r="W39" s="122">
        <f t="shared" si="9"/>
        <v>1.0089999999999999</v>
      </c>
      <c r="X39" s="122">
        <f t="shared" si="10"/>
        <v>32.5</v>
      </c>
      <c r="Y39" s="122">
        <f t="shared" si="11"/>
        <v>0.71</v>
      </c>
    </row>
    <row r="40" spans="1:25">
      <c r="A40" s="122" t="s">
        <v>482</v>
      </c>
      <c r="B40" s="122" t="s">
        <v>481</v>
      </c>
      <c r="C40" s="1"/>
      <c r="D40" s="1"/>
      <c r="E40" s="1"/>
      <c r="F40" s="1">
        <v>1</v>
      </c>
      <c r="G40" s="122">
        <v>4</v>
      </c>
      <c r="H40" s="122">
        <v>7</v>
      </c>
      <c r="I40" s="122">
        <f>2*Table2[[#This Row],[Minimum SRM]]</f>
        <v>8</v>
      </c>
      <c r="J40" s="122">
        <f>2*Table2[[#This Row],[Minimum EBC]]</f>
        <v>16</v>
      </c>
      <c r="K40" s="122">
        <v>4.5</v>
      </c>
      <c r="L40" s="122">
        <v>6</v>
      </c>
      <c r="M40" s="122">
        <v>1.038</v>
      </c>
      <c r="N40" s="122">
        <v>1.05</v>
      </c>
      <c r="O40" s="122">
        <v>1.004</v>
      </c>
      <c r="P40" s="122">
        <v>1.006</v>
      </c>
      <c r="Q40" s="122">
        <v>20</v>
      </c>
      <c r="R40" s="122">
        <v>35</v>
      </c>
      <c r="S40" s="122">
        <f t="shared" si="6"/>
        <v>5.5</v>
      </c>
      <c r="T40" s="122">
        <f>Table2[[#This Row],[Average SRM]]*2</f>
        <v>11</v>
      </c>
      <c r="U40" s="122">
        <f t="shared" si="7"/>
        <v>5.25</v>
      </c>
      <c r="V40" s="122">
        <f t="shared" si="8"/>
        <v>1.044</v>
      </c>
      <c r="W40" s="122">
        <f t="shared" si="9"/>
        <v>1.0049999999999999</v>
      </c>
      <c r="X40" s="122">
        <f t="shared" si="10"/>
        <v>27.5</v>
      </c>
      <c r="Y40" s="122">
        <f t="shared" si="11"/>
        <v>0.63</v>
      </c>
    </row>
    <row r="41" spans="1:25">
      <c r="A41" s="122" t="s">
        <v>483</v>
      </c>
      <c r="B41" s="122" t="s">
        <v>481</v>
      </c>
      <c r="C41" s="1"/>
      <c r="D41" s="1"/>
      <c r="E41" s="1"/>
      <c r="F41" s="1">
        <v>1</v>
      </c>
      <c r="G41" s="122">
        <v>6</v>
      </c>
      <c r="H41" s="122">
        <v>14</v>
      </c>
      <c r="I41" s="122">
        <f>2*Table2[[#This Row],[Minimum SRM]]</f>
        <v>12</v>
      </c>
      <c r="J41" s="122">
        <f>2*Table2[[#This Row],[Minimum EBC]]</f>
        <v>24</v>
      </c>
      <c r="K41" s="122">
        <v>5</v>
      </c>
      <c r="L41" s="122">
        <v>7.5</v>
      </c>
      <c r="M41" s="122">
        <v>1.05</v>
      </c>
      <c r="N41" s="122">
        <v>1.075</v>
      </c>
      <c r="O41" s="122">
        <v>1.01</v>
      </c>
      <c r="P41" s="122">
        <v>1.018</v>
      </c>
      <c r="Q41" s="122">
        <v>40</v>
      </c>
      <c r="R41" s="122">
        <v>60</v>
      </c>
      <c r="S41" s="122">
        <f t="shared" si="6"/>
        <v>10</v>
      </c>
      <c r="T41" s="122">
        <f>Table2[[#This Row],[Average SRM]]*2</f>
        <v>20</v>
      </c>
      <c r="U41" s="122">
        <f t="shared" si="7"/>
        <v>6.25</v>
      </c>
      <c r="V41" s="122">
        <f t="shared" si="8"/>
        <v>1.0625</v>
      </c>
      <c r="W41" s="122">
        <f t="shared" si="9"/>
        <v>1.014</v>
      </c>
      <c r="X41" s="122">
        <f t="shared" si="10"/>
        <v>50</v>
      </c>
      <c r="Y41" s="122">
        <f t="shared" si="11"/>
        <v>0.8</v>
      </c>
    </row>
    <row r="42" spans="1:25">
      <c r="A42" s="122" t="s">
        <v>484</v>
      </c>
      <c r="B42" s="122" t="s">
        <v>485</v>
      </c>
      <c r="C42" s="1"/>
      <c r="D42" s="1">
        <v>1</v>
      </c>
      <c r="E42" s="1"/>
      <c r="F42" s="1"/>
      <c r="G42" s="122">
        <v>12</v>
      </c>
      <c r="H42" s="122">
        <v>25</v>
      </c>
      <c r="I42" s="122">
        <f>2*Table2[[#This Row],[Minimum SRM]]</f>
        <v>24</v>
      </c>
      <c r="J42" s="122">
        <f>2*Table2[[#This Row],[Minimum EBC]]</f>
        <v>48</v>
      </c>
      <c r="K42" s="122">
        <v>3</v>
      </c>
      <c r="L42" s="122">
        <v>3.8</v>
      </c>
      <c r="M42" s="122">
        <v>1.03</v>
      </c>
      <c r="N42" s="122">
        <v>1.038</v>
      </c>
      <c r="O42" s="122">
        <v>1.008</v>
      </c>
      <c r="P42" s="122">
        <v>1.0129999999999999</v>
      </c>
      <c r="Q42" s="122">
        <v>10</v>
      </c>
      <c r="R42" s="122">
        <v>25</v>
      </c>
      <c r="S42" s="122">
        <f t="shared" si="6"/>
        <v>18.5</v>
      </c>
      <c r="T42" s="122">
        <f>Table2[[#This Row],[Average SRM]]*2</f>
        <v>37</v>
      </c>
      <c r="U42" s="122">
        <f t="shared" si="7"/>
        <v>3.4</v>
      </c>
      <c r="V42" s="122">
        <f t="shared" si="8"/>
        <v>1.034</v>
      </c>
      <c r="W42" s="122">
        <f t="shared" si="9"/>
        <v>1.0105</v>
      </c>
      <c r="X42" s="122">
        <f t="shared" si="10"/>
        <v>17.5</v>
      </c>
      <c r="Y42" s="122">
        <f t="shared" si="11"/>
        <v>0.51</v>
      </c>
    </row>
    <row r="43" spans="1:25">
      <c r="A43" s="122" t="s">
        <v>486</v>
      </c>
      <c r="B43" s="122" t="s">
        <v>485</v>
      </c>
      <c r="C43" s="1"/>
      <c r="D43" s="1">
        <v>1</v>
      </c>
      <c r="E43" s="1"/>
      <c r="F43" s="1"/>
      <c r="G43" s="122">
        <v>12</v>
      </c>
      <c r="H43" s="122">
        <v>22</v>
      </c>
      <c r="I43" s="122">
        <f>2*Table2[[#This Row],[Minimum SRM]]</f>
        <v>24</v>
      </c>
      <c r="J43" s="122">
        <f>2*Table2[[#This Row],[Minimum EBC]]</f>
        <v>48</v>
      </c>
      <c r="K43" s="122">
        <v>4.2</v>
      </c>
      <c r="L43" s="122">
        <v>5.4</v>
      </c>
      <c r="M43" s="122">
        <v>1.04</v>
      </c>
      <c r="N43" s="122">
        <v>1.052</v>
      </c>
      <c r="O43" s="122">
        <v>1.008</v>
      </c>
      <c r="P43" s="122">
        <v>1.0129999999999999</v>
      </c>
      <c r="Q43" s="122">
        <v>20</v>
      </c>
      <c r="R43" s="122">
        <v>30</v>
      </c>
      <c r="S43" s="122">
        <f t="shared" si="6"/>
        <v>17</v>
      </c>
      <c r="T43" s="122">
        <f>Table2[[#This Row],[Average SRM]]*2</f>
        <v>34</v>
      </c>
      <c r="U43" s="122">
        <f t="shared" si="7"/>
        <v>4.8000000000000007</v>
      </c>
      <c r="V43" s="122">
        <f t="shared" si="8"/>
        <v>1.046</v>
      </c>
      <c r="W43" s="122">
        <f t="shared" si="9"/>
        <v>1.0105</v>
      </c>
      <c r="X43" s="122">
        <f t="shared" si="10"/>
        <v>25</v>
      </c>
      <c r="Y43" s="122">
        <f t="shared" si="11"/>
        <v>0.54</v>
      </c>
    </row>
    <row r="44" spans="1:25">
      <c r="A44" s="122" t="s">
        <v>487</v>
      </c>
      <c r="B44" s="122" t="s">
        <v>485</v>
      </c>
      <c r="C44" s="1"/>
      <c r="D44" s="1">
        <v>1</v>
      </c>
      <c r="E44" s="1"/>
      <c r="F44" s="1"/>
      <c r="G44" s="122">
        <v>20</v>
      </c>
      <c r="H44" s="122">
        <v>30</v>
      </c>
      <c r="I44" s="122">
        <f>2*Table2[[#This Row],[Minimum SRM]]</f>
        <v>40</v>
      </c>
      <c r="J44" s="122">
        <f>2*Table2[[#This Row],[Minimum EBC]]</f>
        <v>80</v>
      </c>
      <c r="K44" s="122">
        <v>4</v>
      </c>
      <c r="L44" s="122">
        <v>5.4</v>
      </c>
      <c r="M44" s="122">
        <v>1.04</v>
      </c>
      <c r="N44" s="122">
        <v>1.052</v>
      </c>
      <c r="O44" s="122">
        <v>1.008</v>
      </c>
      <c r="P44" s="122">
        <v>1.014</v>
      </c>
      <c r="Q44" s="122">
        <v>18</v>
      </c>
      <c r="R44" s="122">
        <v>35</v>
      </c>
      <c r="S44" s="122">
        <f t="shared" si="6"/>
        <v>25</v>
      </c>
      <c r="T44" s="122">
        <f>Table2[[#This Row],[Average SRM]]*2</f>
        <v>50</v>
      </c>
      <c r="U44" s="122">
        <f t="shared" si="7"/>
        <v>4.7</v>
      </c>
      <c r="V44" s="122">
        <f t="shared" si="8"/>
        <v>1.046</v>
      </c>
      <c r="W44" s="122">
        <f t="shared" si="9"/>
        <v>1.0110000000000001</v>
      </c>
      <c r="X44" s="122">
        <f t="shared" si="10"/>
        <v>26.5</v>
      </c>
      <c r="Y44" s="122">
        <f t="shared" si="11"/>
        <v>0.57999999999999996</v>
      </c>
    </row>
    <row r="45" spans="1:25">
      <c r="A45" s="122" t="s">
        <v>488</v>
      </c>
      <c r="B45" s="122" t="s">
        <v>489</v>
      </c>
      <c r="C45" s="1"/>
      <c r="D45" s="1">
        <v>1</v>
      </c>
      <c r="E45" s="1"/>
      <c r="F45" s="1"/>
      <c r="G45" s="122">
        <v>17</v>
      </c>
      <c r="H45" s="122">
        <v>22</v>
      </c>
      <c r="I45" s="122">
        <f>2*Table2[[#This Row],[Minimum SRM]]</f>
        <v>34</v>
      </c>
      <c r="J45" s="122">
        <f>2*Table2[[#This Row],[Minimum EBC]]</f>
        <v>68</v>
      </c>
      <c r="K45" s="122">
        <v>2.5</v>
      </c>
      <c r="L45" s="122">
        <v>3.2</v>
      </c>
      <c r="M45" s="122">
        <v>1.03</v>
      </c>
      <c r="N45" s="122">
        <v>1.0349999999999999</v>
      </c>
      <c r="O45" s="122">
        <v>1.01</v>
      </c>
      <c r="P45" s="122">
        <v>1.0129999999999999</v>
      </c>
      <c r="Q45" s="122">
        <v>10</v>
      </c>
      <c r="R45" s="122">
        <v>20</v>
      </c>
      <c r="S45" s="122">
        <f t="shared" si="6"/>
        <v>19.5</v>
      </c>
      <c r="T45" s="122">
        <f>Table2[[#This Row],[Average SRM]]*2</f>
        <v>39</v>
      </c>
      <c r="U45" s="122">
        <f t="shared" si="7"/>
        <v>2.85</v>
      </c>
      <c r="V45" s="122">
        <f t="shared" si="8"/>
        <v>1.0325</v>
      </c>
      <c r="W45" s="122">
        <f t="shared" si="9"/>
        <v>1.0114999999999998</v>
      </c>
      <c r="X45" s="122">
        <f t="shared" si="10"/>
        <v>15</v>
      </c>
      <c r="Y45" s="122">
        <f t="shared" si="11"/>
        <v>0.46</v>
      </c>
    </row>
    <row r="46" spans="1:25">
      <c r="A46" s="122" t="s">
        <v>490</v>
      </c>
      <c r="B46" s="122" t="s">
        <v>489</v>
      </c>
      <c r="C46" s="1"/>
      <c r="D46" s="1">
        <v>1</v>
      </c>
      <c r="E46" s="1"/>
      <c r="F46" s="1"/>
      <c r="G46" s="122">
        <v>13</v>
      </c>
      <c r="H46" s="122">
        <v>22</v>
      </c>
      <c r="I46" s="122">
        <f>2*Table2[[#This Row],[Minimum SRM]]</f>
        <v>26</v>
      </c>
      <c r="J46" s="122">
        <f>2*Table2[[#This Row],[Minimum EBC]]</f>
        <v>52</v>
      </c>
      <c r="K46" s="122">
        <v>3.2</v>
      </c>
      <c r="L46" s="122">
        <v>3.9</v>
      </c>
      <c r="M46" s="122">
        <v>1.0349999999999999</v>
      </c>
      <c r="N46" s="122">
        <v>1.04</v>
      </c>
      <c r="O46" s="122">
        <v>1.01</v>
      </c>
      <c r="P46" s="122">
        <v>1.0149999999999999</v>
      </c>
      <c r="Q46" s="122">
        <v>10</v>
      </c>
      <c r="R46" s="122">
        <v>20</v>
      </c>
      <c r="S46" s="122">
        <f t="shared" si="6"/>
        <v>17.5</v>
      </c>
      <c r="T46" s="122">
        <f>Table2[[#This Row],[Average SRM]]*2</f>
        <v>35</v>
      </c>
      <c r="U46" s="122">
        <f t="shared" si="7"/>
        <v>3.55</v>
      </c>
      <c r="V46" s="122">
        <f t="shared" si="8"/>
        <v>1.0375000000000001</v>
      </c>
      <c r="W46" s="122">
        <f t="shared" si="9"/>
        <v>1.0125</v>
      </c>
      <c r="X46" s="122">
        <f t="shared" si="10"/>
        <v>15</v>
      </c>
      <c r="Y46" s="122">
        <f t="shared" si="11"/>
        <v>0.4</v>
      </c>
    </row>
    <row r="47" spans="1:25">
      <c r="A47" s="122" t="s">
        <v>491</v>
      </c>
      <c r="B47" s="122" t="s">
        <v>489</v>
      </c>
      <c r="C47" s="1"/>
      <c r="D47" s="1">
        <v>1</v>
      </c>
      <c r="E47" s="1"/>
      <c r="F47" s="1"/>
      <c r="G47" s="122">
        <v>13</v>
      </c>
      <c r="H47" s="122">
        <v>22</v>
      </c>
      <c r="I47" s="122">
        <f>2*Table2[[#This Row],[Minimum SRM]]</f>
        <v>26</v>
      </c>
      <c r="J47" s="122">
        <f>2*Table2[[#This Row],[Minimum EBC]]</f>
        <v>52</v>
      </c>
      <c r="K47" s="122">
        <v>3.9</v>
      </c>
      <c r="L47" s="122">
        <v>6</v>
      </c>
      <c r="M47" s="122">
        <v>1.04</v>
      </c>
      <c r="N47" s="122">
        <v>1.06</v>
      </c>
      <c r="O47" s="122">
        <v>1.01</v>
      </c>
      <c r="P47" s="122">
        <v>1.016</v>
      </c>
      <c r="Q47" s="122">
        <v>15</v>
      </c>
      <c r="R47" s="122">
        <v>30</v>
      </c>
      <c r="S47" s="122">
        <f t="shared" si="6"/>
        <v>17.5</v>
      </c>
      <c r="T47" s="122">
        <f>Table2[[#This Row],[Average SRM]]*2</f>
        <v>35</v>
      </c>
      <c r="U47" s="122">
        <f t="shared" si="7"/>
        <v>4.95</v>
      </c>
      <c r="V47" s="122">
        <f t="shared" si="8"/>
        <v>1.05</v>
      </c>
      <c r="W47" s="122">
        <f t="shared" si="9"/>
        <v>1.0129999999999999</v>
      </c>
      <c r="X47" s="122">
        <f t="shared" si="10"/>
        <v>22.5</v>
      </c>
      <c r="Y47" s="122">
        <f t="shared" si="11"/>
        <v>0.45</v>
      </c>
    </row>
    <row r="48" spans="1:25">
      <c r="A48" s="122" t="s">
        <v>492</v>
      </c>
      <c r="B48" s="122" t="s">
        <v>493</v>
      </c>
      <c r="C48" s="1">
        <v>1</v>
      </c>
      <c r="D48" s="1"/>
      <c r="E48" s="1"/>
      <c r="F48" s="1"/>
      <c r="G48" s="122">
        <v>9</v>
      </c>
      <c r="H48" s="122">
        <v>14</v>
      </c>
      <c r="I48" s="122">
        <f>2*Table2[[#This Row],[Minimum SRM]]</f>
        <v>18</v>
      </c>
      <c r="J48" s="122">
        <f>2*Table2[[#This Row],[Minimum EBC]]</f>
        <v>36</v>
      </c>
      <c r="K48" s="122">
        <v>3.8</v>
      </c>
      <c r="L48" s="122">
        <v>5</v>
      </c>
      <c r="M48" s="122">
        <v>1.036</v>
      </c>
      <c r="N48" s="122">
        <v>1.046</v>
      </c>
      <c r="O48" s="122">
        <v>1.01</v>
      </c>
      <c r="P48" s="122">
        <v>1.014</v>
      </c>
      <c r="Q48" s="122">
        <v>18</v>
      </c>
      <c r="R48" s="122">
        <v>28</v>
      </c>
      <c r="S48" s="122">
        <f t="shared" si="6"/>
        <v>11.5</v>
      </c>
      <c r="T48" s="122">
        <f>Table2[[#This Row],[Average SRM]]*2</f>
        <v>23</v>
      </c>
      <c r="U48" s="122">
        <f t="shared" si="7"/>
        <v>4.4000000000000004</v>
      </c>
      <c r="V48" s="122">
        <f t="shared" si="8"/>
        <v>1.0409999999999999</v>
      </c>
      <c r="W48" s="122">
        <f t="shared" si="9"/>
        <v>1.012</v>
      </c>
      <c r="X48" s="122">
        <f t="shared" si="10"/>
        <v>23</v>
      </c>
      <c r="Y48" s="122">
        <f t="shared" si="11"/>
        <v>0.56000000000000005</v>
      </c>
    </row>
    <row r="49" spans="1:25">
      <c r="A49" s="122" t="s">
        <v>494</v>
      </c>
      <c r="B49" s="122" t="s">
        <v>493</v>
      </c>
      <c r="C49" s="1"/>
      <c r="D49" s="1"/>
      <c r="E49" s="1"/>
      <c r="F49" s="1">
        <v>1</v>
      </c>
      <c r="G49" s="122">
        <v>25</v>
      </c>
      <c r="H49" s="122">
        <v>40</v>
      </c>
      <c r="I49" s="122">
        <f>2*Table2[[#This Row],[Minimum SRM]]</f>
        <v>50</v>
      </c>
      <c r="J49" s="122">
        <f>2*Table2[[#This Row],[Minimum EBC]]</f>
        <v>100</v>
      </c>
      <c r="K49" s="122">
        <v>4</v>
      </c>
      <c r="L49" s="122">
        <v>4.5</v>
      </c>
      <c r="M49" s="122">
        <v>1.036</v>
      </c>
      <c r="N49" s="122">
        <v>1.044</v>
      </c>
      <c r="O49" s="122">
        <v>1.0069999999999999</v>
      </c>
      <c r="P49" s="122">
        <v>1.0109999999999999</v>
      </c>
      <c r="Q49" s="122">
        <v>25</v>
      </c>
      <c r="R49" s="122">
        <v>45</v>
      </c>
      <c r="S49" s="122">
        <f t="shared" si="6"/>
        <v>32.5</v>
      </c>
      <c r="T49" s="122">
        <f>Table2[[#This Row],[Average SRM]]*2</f>
        <v>65</v>
      </c>
      <c r="U49" s="122">
        <f t="shared" si="7"/>
        <v>4.25</v>
      </c>
      <c r="V49" s="122">
        <f t="shared" si="8"/>
        <v>1.04</v>
      </c>
      <c r="W49" s="122">
        <f t="shared" si="9"/>
        <v>1.0089999999999999</v>
      </c>
      <c r="X49" s="122">
        <f t="shared" si="10"/>
        <v>35</v>
      </c>
      <c r="Y49" s="122">
        <f t="shared" si="11"/>
        <v>0.88</v>
      </c>
    </row>
    <row r="50" spans="1:25">
      <c r="A50" s="122" t="s">
        <v>495</v>
      </c>
      <c r="B50" s="122" t="s">
        <v>493</v>
      </c>
      <c r="C50" s="1"/>
      <c r="D50" s="1"/>
      <c r="E50" s="1"/>
      <c r="F50" s="1">
        <v>1</v>
      </c>
      <c r="G50" s="122">
        <v>25</v>
      </c>
      <c r="H50" s="122">
        <v>40</v>
      </c>
      <c r="I50" s="122">
        <f>2*Table2[[#This Row],[Minimum SRM]]</f>
        <v>50</v>
      </c>
      <c r="J50" s="122">
        <f>2*Table2[[#This Row],[Minimum EBC]]</f>
        <v>100</v>
      </c>
      <c r="K50" s="122">
        <v>5.5</v>
      </c>
      <c r="L50" s="122">
        <v>6.5</v>
      </c>
      <c r="M50" s="122">
        <v>1.052</v>
      </c>
      <c r="N50" s="122">
        <v>1.0620000000000001</v>
      </c>
      <c r="O50" s="122">
        <v>1.01</v>
      </c>
      <c r="P50" s="122">
        <v>1.014</v>
      </c>
      <c r="Q50" s="122">
        <v>35</v>
      </c>
      <c r="R50" s="122">
        <v>50</v>
      </c>
      <c r="S50" s="122">
        <f t="shared" si="6"/>
        <v>32.5</v>
      </c>
      <c r="T50" s="122">
        <f>Table2[[#This Row],[Average SRM]]*2</f>
        <v>65</v>
      </c>
      <c r="U50" s="122">
        <f t="shared" si="7"/>
        <v>6</v>
      </c>
      <c r="V50" s="122">
        <f t="shared" si="8"/>
        <v>1.0569999999999999</v>
      </c>
      <c r="W50" s="122">
        <f t="shared" si="9"/>
        <v>1.012</v>
      </c>
      <c r="X50" s="122">
        <f t="shared" si="10"/>
        <v>42.5</v>
      </c>
      <c r="Y50" s="122">
        <f t="shared" si="11"/>
        <v>0.75</v>
      </c>
    </row>
    <row r="51" spans="1:25">
      <c r="A51" s="122" t="s">
        <v>496</v>
      </c>
      <c r="B51" s="122" t="s">
        <v>497</v>
      </c>
      <c r="C51" s="1"/>
      <c r="D51" s="1">
        <v>1</v>
      </c>
      <c r="E51" s="1"/>
      <c r="F51" s="1"/>
      <c r="G51" s="122">
        <v>30</v>
      </c>
      <c r="H51" s="122">
        <v>40</v>
      </c>
      <c r="I51" s="122">
        <f>2*Table2[[#This Row],[Minimum SRM]]</f>
        <v>60</v>
      </c>
      <c r="J51" s="122">
        <f>2*Table2[[#This Row],[Minimum EBC]]</f>
        <v>120</v>
      </c>
      <c r="K51" s="122">
        <v>4</v>
      </c>
      <c r="L51" s="122">
        <v>6</v>
      </c>
      <c r="M51" s="122">
        <v>1.044</v>
      </c>
      <c r="N51" s="122">
        <v>1.06</v>
      </c>
      <c r="O51" s="122">
        <v>1.012</v>
      </c>
      <c r="P51" s="122">
        <v>1.024</v>
      </c>
      <c r="Q51" s="122">
        <v>20</v>
      </c>
      <c r="R51" s="122">
        <v>40</v>
      </c>
      <c r="S51" s="122">
        <f t="shared" si="6"/>
        <v>35</v>
      </c>
      <c r="T51" s="122">
        <f>Table2[[#This Row],[Average SRM]]*2</f>
        <v>70</v>
      </c>
      <c r="U51" s="122">
        <f t="shared" si="7"/>
        <v>5</v>
      </c>
      <c r="V51" s="122">
        <f t="shared" si="8"/>
        <v>1.052</v>
      </c>
      <c r="W51" s="122">
        <f t="shared" si="9"/>
        <v>1.018</v>
      </c>
      <c r="X51" s="122">
        <f t="shared" si="10"/>
        <v>30</v>
      </c>
      <c r="Y51" s="122">
        <f t="shared" si="11"/>
        <v>0.57999999999999996</v>
      </c>
    </row>
    <row r="52" spans="1:25">
      <c r="A52" s="122" t="s">
        <v>498</v>
      </c>
      <c r="B52" s="122" t="s">
        <v>497</v>
      </c>
      <c r="C52" s="1"/>
      <c r="D52" s="1">
        <v>1</v>
      </c>
      <c r="E52" s="1"/>
      <c r="F52" s="1"/>
      <c r="G52" s="122">
        <v>22</v>
      </c>
      <c r="H52" s="122">
        <v>40</v>
      </c>
      <c r="I52" s="122">
        <f>2*Table2[[#This Row],[Minimum SRM]]</f>
        <v>44</v>
      </c>
      <c r="J52" s="122">
        <f>2*Table2[[#This Row],[Minimum EBC]]</f>
        <v>88</v>
      </c>
      <c r="K52" s="122">
        <v>4.2</v>
      </c>
      <c r="L52" s="122">
        <v>5.9</v>
      </c>
      <c r="M52" s="122">
        <v>1.0449999999999999</v>
      </c>
      <c r="N52" s="122">
        <v>1.0649999999999999</v>
      </c>
      <c r="O52" s="122">
        <v>1.01</v>
      </c>
      <c r="P52" s="122">
        <v>1.018</v>
      </c>
      <c r="Q52" s="122">
        <v>25</v>
      </c>
      <c r="R52" s="122">
        <v>40</v>
      </c>
      <c r="S52" s="122">
        <f t="shared" si="6"/>
        <v>31</v>
      </c>
      <c r="T52" s="122">
        <f>Table2[[#This Row],[Average SRM]]*2</f>
        <v>62</v>
      </c>
      <c r="U52" s="122">
        <f t="shared" si="7"/>
        <v>5.0500000000000007</v>
      </c>
      <c r="V52" s="122">
        <f t="shared" si="8"/>
        <v>1.0549999999999999</v>
      </c>
      <c r="W52" s="122">
        <f t="shared" si="9"/>
        <v>1.014</v>
      </c>
      <c r="X52" s="122">
        <f t="shared" si="10"/>
        <v>32.5</v>
      </c>
      <c r="Y52" s="122">
        <f t="shared" si="11"/>
        <v>0.59</v>
      </c>
    </row>
    <row r="53" spans="1:25">
      <c r="A53" s="122" t="s">
        <v>499</v>
      </c>
      <c r="B53" s="122" t="s">
        <v>497</v>
      </c>
      <c r="C53" s="1"/>
      <c r="D53" s="1">
        <v>1</v>
      </c>
      <c r="E53" s="1"/>
      <c r="F53" s="1"/>
      <c r="G53" s="122">
        <v>30</v>
      </c>
      <c r="H53" s="122">
        <v>40</v>
      </c>
      <c r="I53" s="122">
        <f>2*Table2[[#This Row],[Minimum SRM]]</f>
        <v>60</v>
      </c>
      <c r="J53" s="122">
        <f>2*Table2[[#This Row],[Minimum EBC]]</f>
        <v>120</v>
      </c>
      <c r="K53" s="122">
        <v>5.5</v>
      </c>
      <c r="L53" s="122">
        <v>8</v>
      </c>
      <c r="M53" s="122">
        <v>1.056</v>
      </c>
      <c r="N53" s="122">
        <v>1.075</v>
      </c>
      <c r="O53" s="122">
        <v>1.01</v>
      </c>
      <c r="P53" s="122">
        <v>1.018</v>
      </c>
      <c r="Q53" s="122">
        <v>30</v>
      </c>
      <c r="R53" s="122">
        <v>50</v>
      </c>
      <c r="S53" s="122">
        <f t="shared" si="6"/>
        <v>35</v>
      </c>
      <c r="T53" s="122">
        <f>Table2[[#This Row],[Average SRM]]*2</f>
        <v>70</v>
      </c>
      <c r="U53" s="122">
        <f t="shared" si="7"/>
        <v>6.75</v>
      </c>
      <c r="V53" s="122">
        <f t="shared" si="8"/>
        <v>1.0655000000000001</v>
      </c>
      <c r="W53" s="122">
        <f t="shared" si="9"/>
        <v>1.014</v>
      </c>
      <c r="X53" s="122">
        <f t="shared" si="10"/>
        <v>40</v>
      </c>
      <c r="Y53" s="122">
        <f t="shared" si="11"/>
        <v>0.61</v>
      </c>
    </row>
    <row r="54" spans="1:25">
      <c r="A54" s="122" t="s">
        <v>500</v>
      </c>
      <c r="B54" s="122" t="s">
        <v>497</v>
      </c>
      <c r="C54" s="1"/>
      <c r="D54" s="1">
        <v>1</v>
      </c>
      <c r="E54" s="1"/>
      <c r="F54" s="1"/>
      <c r="G54" s="122">
        <v>30</v>
      </c>
      <c r="H54" s="122">
        <v>40</v>
      </c>
      <c r="I54" s="122">
        <f>2*Table2[[#This Row],[Minimum SRM]]</f>
        <v>60</v>
      </c>
      <c r="J54" s="122">
        <f>2*Table2[[#This Row],[Minimum EBC]]</f>
        <v>120</v>
      </c>
      <c r="K54" s="122">
        <v>6.3</v>
      </c>
      <c r="L54" s="122">
        <v>8</v>
      </c>
      <c r="M54" s="122">
        <v>1.056</v>
      </c>
      <c r="N54" s="122">
        <v>1.075</v>
      </c>
      <c r="O54" s="122">
        <v>1.01</v>
      </c>
      <c r="P54" s="122">
        <v>1.018</v>
      </c>
      <c r="Q54" s="122">
        <v>50</v>
      </c>
      <c r="R54" s="122">
        <v>70</v>
      </c>
      <c r="S54" s="122">
        <f t="shared" si="6"/>
        <v>35</v>
      </c>
      <c r="T54" s="122">
        <f>Table2[[#This Row],[Average SRM]]*2</f>
        <v>70</v>
      </c>
      <c r="U54" s="122">
        <f t="shared" si="7"/>
        <v>7.15</v>
      </c>
      <c r="V54" s="122">
        <f t="shared" si="8"/>
        <v>1.0655000000000001</v>
      </c>
      <c r="W54" s="122">
        <f t="shared" si="9"/>
        <v>1.014</v>
      </c>
      <c r="X54" s="122">
        <f t="shared" si="10"/>
        <v>60</v>
      </c>
      <c r="Y54" s="122">
        <f t="shared" si="11"/>
        <v>0.92</v>
      </c>
    </row>
    <row r="55" spans="1:25">
      <c r="A55" s="122" t="s">
        <v>501</v>
      </c>
      <c r="B55" s="122" t="s">
        <v>502</v>
      </c>
      <c r="C55" s="1"/>
      <c r="D55" s="1">
        <v>1</v>
      </c>
      <c r="E55" s="1"/>
      <c r="F55" s="1"/>
      <c r="G55" s="122">
        <v>8</v>
      </c>
      <c r="H55" s="122">
        <v>22</v>
      </c>
      <c r="I55" s="122">
        <f>2*Table2[[#This Row],[Minimum SRM]]</f>
        <v>16</v>
      </c>
      <c r="J55" s="122">
        <f>2*Table2[[#This Row],[Minimum EBC]]</f>
        <v>32</v>
      </c>
      <c r="K55" s="122">
        <v>5.5</v>
      </c>
      <c r="L55" s="122">
        <v>8</v>
      </c>
      <c r="M55" s="122">
        <v>1.0549999999999999</v>
      </c>
      <c r="N55" s="122">
        <v>1.08</v>
      </c>
      <c r="O55" s="122">
        <v>1.0149999999999999</v>
      </c>
      <c r="P55" s="122">
        <v>1.022</v>
      </c>
      <c r="Q55" s="122">
        <v>30</v>
      </c>
      <c r="R55" s="122">
        <v>60</v>
      </c>
      <c r="S55" s="122">
        <f t="shared" si="6"/>
        <v>15</v>
      </c>
      <c r="T55" s="122">
        <f>Table2[[#This Row],[Average SRM]]*2</f>
        <v>30</v>
      </c>
      <c r="U55" s="122">
        <f t="shared" si="7"/>
        <v>6.75</v>
      </c>
      <c r="V55" s="122">
        <f t="shared" si="8"/>
        <v>1.0674999999999999</v>
      </c>
      <c r="W55" s="122">
        <f t="shared" si="9"/>
        <v>1.0185</v>
      </c>
      <c r="X55" s="122">
        <f t="shared" si="10"/>
        <v>45</v>
      </c>
      <c r="Y55" s="122">
        <f t="shared" si="11"/>
        <v>0.67</v>
      </c>
    </row>
    <row r="56" spans="1:25">
      <c r="A56" s="122" t="s">
        <v>503</v>
      </c>
      <c r="B56" s="122" t="s">
        <v>502</v>
      </c>
      <c r="C56" s="1"/>
      <c r="D56" s="1">
        <v>1</v>
      </c>
      <c r="E56" s="1"/>
      <c r="F56" s="1"/>
      <c r="G56" s="122">
        <v>10</v>
      </c>
      <c r="H56" s="122">
        <v>22</v>
      </c>
      <c r="I56" s="122">
        <f>2*Table2[[#This Row],[Minimum SRM]]</f>
        <v>20</v>
      </c>
      <c r="J56" s="122">
        <f>2*Table2[[#This Row],[Minimum EBC]]</f>
        <v>40</v>
      </c>
      <c r="K56" s="122">
        <v>5.5</v>
      </c>
      <c r="L56" s="122">
        <v>9</v>
      </c>
      <c r="M56" s="122">
        <v>1.0549999999999999</v>
      </c>
      <c r="N56" s="122">
        <v>1.0880000000000001</v>
      </c>
      <c r="O56" s="122">
        <v>1.0149999999999999</v>
      </c>
      <c r="P56" s="122">
        <v>1.022</v>
      </c>
      <c r="Q56" s="122">
        <v>30</v>
      </c>
      <c r="R56" s="122">
        <v>60</v>
      </c>
      <c r="S56" s="122">
        <f t="shared" si="6"/>
        <v>16</v>
      </c>
      <c r="T56" s="122">
        <f>Table2[[#This Row],[Average SRM]]*2</f>
        <v>32</v>
      </c>
      <c r="U56" s="122">
        <f t="shared" si="7"/>
        <v>7.25</v>
      </c>
      <c r="V56" s="122">
        <f t="shared" si="8"/>
        <v>1.0714999999999999</v>
      </c>
      <c r="W56" s="122">
        <f t="shared" si="9"/>
        <v>1.0185</v>
      </c>
      <c r="X56" s="122">
        <f t="shared" si="10"/>
        <v>45</v>
      </c>
      <c r="Y56" s="122">
        <f t="shared" si="11"/>
        <v>0.63</v>
      </c>
    </row>
    <row r="57" spans="1:25">
      <c r="A57" s="122" t="s">
        <v>504</v>
      </c>
      <c r="B57" s="122" t="s">
        <v>502</v>
      </c>
      <c r="C57" s="1"/>
      <c r="D57" s="1">
        <v>1</v>
      </c>
      <c r="E57" s="1"/>
      <c r="F57" s="1"/>
      <c r="G57" s="122">
        <v>14</v>
      </c>
      <c r="H57" s="122">
        <v>25</v>
      </c>
      <c r="I57" s="122">
        <f>2*Table2[[#This Row],[Minimum SRM]]</f>
        <v>28</v>
      </c>
      <c r="J57" s="122">
        <f>2*Table2[[#This Row],[Minimum EBC]]</f>
        <v>56</v>
      </c>
      <c r="K57" s="122">
        <v>6.5</v>
      </c>
      <c r="L57" s="122">
        <v>10</v>
      </c>
      <c r="M57" s="122">
        <v>1.07</v>
      </c>
      <c r="N57" s="122">
        <v>1.1299999999999999</v>
      </c>
      <c r="O57" s="122">
        <v>1.018</v>
      </c>
      <c r="P57" s="122">
        <v>1.04</v>
      </c>
      <c r="Q57" s="122">
        <v>17</v>
      </c>
      <c r="R57" s="122">
        <v>35</v>
      </c>
      <c r="S57" s="122">
        <f t="shared" si="6"/>
        <v>19.5</v>
      </c>
      <c r="T57" s="122">
        <f>Table2[[#This Row],[Average SRM]]*2</f>
        <v>39</v>
      </c>
      <c r="U57" s="122">
        <f t="shared" si="7"/>
        <v>8.25</v>
      </c>
      <c r="V57" s="122">
        <f t="shared" si="8"/>
        <v>1.1000000000000001</v>
      </c>
      <c r="W57" s="122">
        <f t="shared" si="9"/>
        <v>1.0289999999999999</v>
      </c>
      <c r="X57" s="122">
        <f t="shared" si="10"/>
        <v>26</v>
      </c>
      <c r="Y57" s="122">
        <f t="shared" si="11"/>
        <v>0.26</v>
      </c>
    </row>
    <row r="58" spans="1:25">
      <c r="A58" s="122" t="s">
        <v>505</v>
      </c>
      <c r="B58" s="122" t="s">
        <v>502</v>
      </c>
      <c r="C58" s="1"/>
      <c r="D58" s="1">
        <v>1</v>
      </c>
      <c r="E58" s="1"/>
      <c r="F58" s="1"/>
      <c r="G58" s="122">
        <v>8</v>
      </c>
      <c r="H58" s="122">
        <v>22</v>
      </c>
      <c r="I58" s="122">
        <f>2*Table2[[#This Row],[Minimum SRM]]</f>
        <v>16</v>
      </c>
      <c r="J58" s="122">
        <f>2*Table2[[#This Row],[Minimum EBC]]</f>
        <v>32</v>
      </c>
      <c r="K58" s="122">
        <v>8</v>
      </c>
      <c r="L58" s="122">
        <v>12</v>
      </c>
      <c r="M58" s="122">
        <v>1.08</v>
      </c>
      <c r="N58" s="122">
        <v>1.1200000000000001</v>
      </c>
      <c r="O58" s="122">
        <v>1.018</v>
      </c>
      <c r="P58" s="122">
        <v>1.03</v>
      </c>
      <c r="Q58" s="122">
        <v>35</v>
      </c>
      <c r="R58" s="122">
        <v>70</v>
      </c>
      <c r="S58" s="122">
        <f t="shared" si="6"/>
        <v>15</v>
      </c>
      <c r="T58" s="122">
        <f>Table2[[#This Row],[Average SRM]]*2</f>
        <v>30</v>
      </c>
      <c r="U58" s="122">
        <f t="shared" si="7"/>
        <v>10</v>
      </c>
      <c r="V58" s="122">
        <f t="shared" si="8"/>
        <v>1.1000000000000001</v>
      </c>
      <c r="W58" s="122">
        <f t="shared" si="9"/>
        <v>1.024</v>
      </c>
      <c r="X58" s="122">
        <f t="shared" si="10"/>
        <v>52.5</v>
      </c>
      <c r="Y58" s="122">
        <f t="shared" si="11"/>
        <v>0.53</v>
      </c>
    </row>
    <row r="59" spans="1:25">
      <c r="A59" s="122" t="s">
        <v>506</v>
      </c>
      <c r="B59" s="122" t="s">
        <v>507</v>
      </c>
      <c r="C59" s="1">
        <v>1</v>
      </c>
      <c r="D59" s="1"/>
      <c r="E59" s="1"/>
      <c r="F59" s="1"/>
      <c r="G59" s="122">
        <v>3</v>
      </c>
      <c r="H59" s="122">
        <v>6</v>
      </c>
      <c r="I59" s="122">
        <f>2*Table2[[#This Row],[Minimum SRM]]</f>
        <v>6</v>
      </c>
      <c r="J59" s="122">
        <f>2*Table2[[#This Row],[Minimum EBC]]</f>
        <v>12</v>
      </c>
      <c r="K59" s="122">
        <v>3.8</v>
      </c>
      <c r="L59" s="122">
        <v>5.5</v>
      </c>
      <c r="M59" s="122">
        <v>1.038</v>
      </c>
      <c r="N59" s="122">
        <v>1.054</v>
      </c>
      <c r="O59" s="122">
        <v>1.008</v>
      </c>
      <c r="P59" s="122">
        <v>1.0129999999999999</v>
      </c>
      <c r="Q59" s="122">
        <v>15</v>
      </c>
      <c r="R59" s="122">
        <v>28</v>
      </c>
      <c r="S59" s="122">
        <f t="shared" si="6"/>
        <v>4.5</v>
      </c>
      <c r="T59" s="122">
        <f>Table2[[#This Row],[Average SRM]]*2</f>
        <v>9</v>
      </c>
      <c r="U59" s="122">
        <f t="shared" si="7"/>
        <v>4.6500000000000004</v>
      </c>
      <c r="V59" s="122">
        <f t="shared" si="8"/>
        <v>1.046</v>
      </c>
      <c r="W59" s="122">
        <f t="shared" si="9"/>
        <v>1.0105</v>
      </c>
      <c r="X59" s="122">
        <f t="shared" si="10"/>
        <v>21.5</v>
      </c>
      <c r="Y59" s="122">
        <f t="shared" si="11"/>
        <v>0.47</v>
      </c>
    </row>
    <row r="60" spans="1:25">
      <c r="A60" s="122" t="s">
        <v>508</v>
      </c>
      <c r="B60" s="122" t="s">
        <v>507</v>
      </c>
      <c r="C60" s="1"/>
      <c r="D60" s="1"/>
      <c r="E60" s="1"/>
      <c r="F60" s="1">
        <v>1</v>
      </c>
      <c r="G60" s="122">
        <v>5</v>
      </c>
      <c r="H60" s="122">
        <v>10</v>
      </c>
      <c r="I60" s="122">
        <f>2*Table2[[#This Row],[Minimum SRM]]</f>
        <v>10</v>
      </c>
      <c r="J60" s="122">
        <f>2*Table2[[#This Row],[Minimum EBC]]</f>
        <v>20</v>
      </c>
      <c r="K60" s="122">
        <v>4.5</v>
      </c>
      <c r="L60" s="122">
        <v>6.2</v>
      </c>
      <c r="M60" s="122">
        <v>1.0449999999999999</v>
      </c>
      <c r="N60" s="122">
        <v>1.06</v>
      </c>
      <c r="O60" s="122">
        <v>1.01</v>
      </c>
      <c r="P60" s="122">
        <v>1.0149999999999999</v>
      </c>
      <c r="Q60" s="122">
        <v>30</v>
      </c>
      <c r="R60" s="122">
        <v>50</v>
      </c>
      <c r="S60" s="122">
        <f t="shared" si="6"/>
        <v>7.5</v>
      </c>
      <c r="T60" s="122">
        <f>Table2[[#This Row],[Average SRM]]*2</f>
        <v>15</v>
      </c>
      <c r="U60" s="122">
        <f t="shared" si="7"/>
        <v>5.35</v>
      </c>
      <c r="V60" s="122">
        <f t="shared" si="8"/>
        <v>1.0525</v>
      </c>
      <c r="W60" s="122">
        <f t="shared" si="9"/>
        <v>1.0125</v>
      </c>
      <c r="X60" s="122">
        <f t="shared" si="10"/>
        <v>40</v>
      </c>
      <c r="Y60" s="122">
        <f t="shared" si="11"/>
        <v>0.76</v>
      </c>
    </row>
    <row r="61" spans="1:25">
      <c r="A61" s="122" t="s">
        <v>509</v>
      </c>
      <c r="B61" s="122" t="s">
        <v>510</v>
      </c>
      <c r="C61" s="1">
        <v>1</v>
      </c>
      <c r="D61" s="1"/>
      <c r="E61" s="1"/>
      <c r="F61" s="1"/>
      <c r="G61" s="122">
        <v>10</v>
      </c>
      <c r="H61" s="122">
        <v>17</v>
      </c>
      <c r="I61" s="122">
        <f>2*Table2[[#This Row],[Minimum SRM]]</f>
        <v>20</v>
      </c>
      <c r="J61" s="122">
        <f>2*Table2[[#This Row],[Minimum EBC]]</f>
        <v>40</v>
      </c>
      <c r="K61" s="122">
        <v>4.5</v>
      </c>
      <c r="L61" s="122">
        <v>6.2</v>
      </c>
      <c r="M61" s="122">
        <v>1.0449999999999999</v>
      </c>
      <c r="N61" s="122">
        <v>1.06</v>
      </c>
      <c r="O61" s="122">
        <v>1.01</v>
      </c>
      <c r="P61" s="122">
        <v>1.0149999999999999</v>
      </c>
      <c r="Q61" s="122">
        <v>25</v>
      </c>
      <c r="R61" s="122">
        <v>40</v>
      </c>
      <c r="S61" s="122">
        <f t="shared" si="6"/>
        <v>13.5</v>
      </c>
      <c r="T61" s="122">
        <f>Table2[[#This Row],[Average SRM]]*2</f>
        <v>27</v>
      </c>
      <c r="U61" s="122">
        <f t="shared" si="7"/>
        <v>5.35</v>
      </c>
      <c r="V61" s="122">
        <f t="shared" si="8"/>
        <v>1.0525</v>
      </c>
      <c r="W61" s="122">
        <f t="shared" si="9"/>
        <v>1.0125</v>
      </c>
      <c r="X61" s="122">
        <f t="shared" si="10"/>
        <v>32.5</v>
      </c>
      <c r="Y61" s="122">
        <f t="shared" si="11"/>
        <v>0.62</v>
      </c>
    </row>
    <row r="62" spans="1:25">
      <c r="A62" s="122" t="s">
        <v>511</v>
      </c>
      <c r="B62" s="122" t="s">
        <v>510</v>
      </c>
      <c r="C62" s="1"/>
      <c r="D62" s="1"/>
      <c r="E62" s="1"/>
      <c r="F62" s="1">
        <v>1</v>
      </c>
      <c r="G62" s="122">
        <v>10</v>
      </c>
      <c r="H62" s="122">
        <v>14</v>
      </c>
      <c r="I62" s="122">
        <f>2*Table2[[#This Row],[Minimum SRM]]</f>
        <v>20</v>
      </c>
      <c r="J62" s="122">
        <f>2*Table2[[#This Row],[Minimum EBC]]</f>
        <v>40</v>
      </c>
      <c r="K62" s="122">
        <v>4.5</v>
      </c>
      <c r="L62" s="122">
        <v>5.5</v>
      </c>
      <c r="M62" s="122">
        <v>1.048</v>
      </c>
      <c r="N62" s="122">
        <v>1.054</v>
      </c>
      <c r="O62" s="122">
        <v>1.0109999999999999</v>
      </c>
      <c r="P62" s="122">
        <v>1.014</v>
      </c>
      <c r="Q62" s="122">
        <v>30</v>
      </c>
      <c r="R62" s="122">
        <v>45</v>
      </c>
      <c r="S62" s="122">
        <f t="shared" si="6"/>
        <v>12</v>
      </c>
      <c r="T62" s="122">
        <f>Table2[[#This Row],[Average SRM]]*2</f>
        <v>24</v>
      </c>
      <c r="U62" s="122">
        <f t="shared" si="7"/>
        <v>5</v>
      </c>
      <c r="V62" s="122">
        <f t="shared" si="8"/>
        <v>1.0510000000000002</v>
      </c>
      <c r="W62" s="122">
        <f t="shared" si="9"/>
        <v>1.0125</v>
      </c>
      <c r="X62" s="122">
        <f t="shared" si="10"/>
        <v>37.5</v>
      </c>
      <c r="Y62" s="122">
        <f t="shared" si="11"/>
        <v>0.74</v>
      </c>
    </row>
    <row r="63" spans="1:25">
      <c r="A63" s="122" t="s">
        <v>512</v>
      </c>
      <c r="B63" s="122" t="s">
        <v>510</v>
      </c>
      <c r="C63" s="1">
        <v>1</v>
      </c>
      <c r="D63" s="1"/>
      <c r="E63" s="1"/>
      <c r="F63" s="1"/>
      <c r="G63" s="122">
        <v>18</v>
      </c>
      <c r="H63" s="122">
        <v>35</v>
      </c>
      <c r="I63" s="122">
        <f>2*Table2[[#This Row],[Minimum SRM]]</f>
        <v>36</v>
      </c>
      <c r="J63" s="122">
        <f>2*Table2[[#This Row],[Minimum EBC]]</f>
        <v>72</v>
      </c>
      <c r="K63" s="122">
        <v>4.3</v>
      </c>
      <c r="L63" s="122">
        <v>6.2</v>
      </c>
      <c r="M63" s="122">
        <v>1.0449999999999999</v>
      </c>
      <c r="N63" s="122">
        <v>1.06</v>
      </c>
      <c r="O63" s="122">
        <v>1.01</v>
      </c>
      <c r="P63" s="122">
        <v>1.016</v>
      </c>
      <c r="Q63" s="122">
        <v>20</v>
      </c>
      <c r="R63" s="122">
        <v>30</v>
      </c>
      <c r="S63" s="122">
        <f t="shared" si="6"/>
        <v>26.5</v>
      </c>
      <c r="T63" s="122">
        <f>Table2[[#This Row],[Average SRM]]*2</f>
        <v>53</v>
      </c>
      <c r="U63" s="122">
        <f t="shared" si="7"/>
        <v>5.25</v>
      </c>
      <c r="V63" s="122">
        <f t="shared" si="8"/>
        <v>1.0525</v>
      </c>
      <c r="W63" s="122">
        <f t="shared" si="9"/>
        <v>1.0129999999999999</v>
      </c>
      <c r="X63" s="122">
        <f t="shared" si="10"/>
        <v>25</v>
      </c>
      <c r="Y63" s="122">
        <f t="shared" si="11"/>
        <v>0.48</v>
      </c>
    </row>
    <row r="64" spans="1:25">
      <c r="A64" s="122" t="s">
        <v>513</v>
      </c>
      <c r="B64" s="122" t="s">
        <v>514</v>
      </c>
      <c r="C64" s="1"/>
      <c r="D64" s="1"/>
      <c r="E64" s="1"/>
      <c r="F64" s="1">
        <v>1</v>
      </c>
      <c r="G64" s="122">
        <v>22</v>
      </c>
      <c r="H64" s="122">
        <v>40</v>
      </c>
      <c r="I64" s="122">
        <f>2*Table2[[#This Row],[Minimum SRM]]</f>
        <v>44</v>
      </c>
      <c r="J64" s="122">
        <f>2*Table2[[#This Row],[Minimum EBC]]</f>
        <v>88</v>
      </c>
      <c r="K64" s="122">
        <v>4.8</v>
      </c>
      <c r="L64" s="122">
        <v>6.5</v>
      </c>
      <c r="M64" s="122">
        <v>1.05</v>
      </c>
      <c r="N64" s="122">
        <v>1.07</v>
      </c>
      <c r="O64" s="122">
        <v>1.012</v>
      </c>
      <c r="P64" s="122">
        <v>1.018</v>
      </c>
      <c r="Q64" s="122">
        <v>25</v>
      </c>
      <c r="R64" s="122">
        <v>50</v>
      </c>
      <c r="S64" s="122">
        <f t="shared" si="6"/>
        <v>31</v>
      </c>
      <c r="T64" s="122">
        <f>Table2[[#This Row],[Average SRM]]*2</f>
        <v>62</v>
      </c>
      <c r="U64" s="122">
        <f t="shared" si="7"/>
        <v>5.65</v>
      </c>
      <c r="V64" s="122">
        <f t="shared" si="8"/>
        <v>1.06</v>
      </c>
      <c r="W64" s="122">
        <f t="shared" si="9"/>
        <v>1.0150000000000001</v>
      </c>
      <c r="X64" s="122">
        <f t="shared" si="10"/>
        <v>37.5</v>
      </c>
      <c r="Y64" s="122">
        <f t="shared" si="11"/>
        <v>0.63</v>
      </c>
    </row>
    <row r="65" spans="1:25">
      <c r="A65" s="122" t="s">
        <v>515</v>
      </c>
      <c r="B65" s="122" t="s">
        <v>514</v>
      </c>
      <c r="C65" s="1"/>
      <c r="D65" s="1"/>
      <c r="E65" s="1"/>
      <c r="F65" s="1">
        <v>1</v>
      </c>
      <c r="G65" s="122">
        <v>30</v>
      </c>
      <c r="H65" s="122">
        <v>40</v>
      </c>
      <c r="I65" s="122">
        <f>2*Table2[[#This Row],[Minimum SRM]]</f>
        <v>60</v>
      </c>
      <c r="J65" s="122">
        <f>2*Table2[[#This Row],[Minimum EBC]]</f>
        <v>120</v>
      </c>
      <c r="K65" s="122">
        <v>5</v>
      </c>
      <c r="L65" s="122">
        <v>7</v>
      </c>
      <c r="M65" s="122">
        <v>1.05</v>
      </c>
      <c r="N65" s="122">
        <v>1.075</v>
      </c>
      <c r="O65" s="122">
        <v>1.01</v>
      </c>
      <c r="P65" s="122">
        <v>1.022</v>
      </c>
      <c r="Q65" s="122">
        <v>35</v>
      </c>
      <c r="R65" s="122">
        <v>75</v>
      </c>
      <c r="S65" s="122">
        <f t="shared" si="6"/>
        <v>35</v>
      </c>
      <c r="T65" s="122">
        <f>Table2[[#This Row],[Average SRM]]*2</f>
        <v>70</v>
      </c>
      <c r="U65" s="122">
        <f t="shared" si="7"/>
        <v>6</v>
      </c>
      <c r="V65" s="122">
        <f t="shared" si="8"/>
        <v>1.0625</v>
      </c>
      <c r="W65" s="122">
        <f t="shared" si="9"/>
        <v>1.016</v>
      </c>
      <c r="X65" s="122">
        <f t="shared" si="10"/>
        <v>55</v>
      </c>
      <c r="Y65" s="122">
        <f t="shared" si="11"/>
        <v>0.88</v>
      </c>
    </row>
    <row r="66" spans="1:25">
      <c r="A66" s="122" t="s">
        <v>516</v>
      </c>
      <c r="B66" s="122" t="s">
        <v>514</v>
      </c>
      <c r="C66" s="1"/>
      <c r="D66" s="1">
        <v>1</v>
      </c>
      <c r="E66" s="1"/>
      <c r="F66" s="1"/>
      <c r="G66" s="122">
        <v>30</v>
      </c>
      <c r="H66" s="122">
        <v>40</v>
      </c>
      <c r="I66" s="122">
        <f>2*Table2[[#This Row],[Minimum SRM]]</f>
        <v>60</v>
      </c>
      <c r="J66" s="122">
        <f>2*Table2[[#This Row],[Minimum EBC]]</f>
        <v>120</v>
      </c>
      <c r="K66" s="122">
        <v>8</v>
      </c>
      <c r="L66" s="122">
        <v>12</v>
      </c>
      <c r="M66" s="122">
        <v>1.075</v>
      </c>
      <c r="N66" s="122">
        <v>1.115</v>
      </c>
      <c r="O66" s="122">
        <v>1.018</v>
      </c>
      <c r="P66" s="122">
        <v>1.03</v>
      </c>
      <c r="Q66" s="122">
        <v>50</v>
      </c>
      <c r="R66" s="122">
        <v>90</v>
      </c>
      <c r="S66" s="122">
        <f t="shared" si="6"/>
        <v>35</v>
      </c>
      <c r="T66" s="122">
        <f>Table2[[#This Row],[Average SRM]]*2</f>
        <v>70</v>
      </c>
      <c r="U66" s="122">
        <f t="shared" si="7"/>
        <v>10</v>
      </c>
      <c r="V66" s="122">
        <f t="shared" si="8"/>
        <v>1.095</v>
      </c>
      <c r="W66" s="122">
        <f t="shared" si="9"/>
        <v>1.024</v>
      </c>
      <c r="X66" s="122">
        <f t="shared" si="10"/>
        <v>70</v>
      </c>
      <c r="Y66" s="122">
        <f t="shared" si="11"/>
        <v>0.74</v>
      </c>
    </row>
    <row r="67" spans="1:25">
      <c r="A67" s="122" t="s">
        <v>517</v>
      </c>
      <c r="B67" s="122" t="s">
        <v>378</v>
      </c>
      <c r="C67" s="1"/>
      <c r="D67" s="1"/>
      <c r="E67" s="1"/>
      <c r="F67" s="1">
        <v>1</v>
      </c>
      <c r="G67" s="122">
        <v>6</v>
      </c>
      <c r="H67" s="122">
        <v>14</v>
      </c>
      <c r="I67" s="122">
        <f>2*Table2[[#This Row],[Minimum SRM]]</f>
        <v>12</v>
      </c>
      <c r="J67" s="122">
        <f>2*Table2[[#This Row],[Minimum EBC]]</f>
        <v>24</v>
      </c>
      <c r="K67" s="122">
        <v>5.5</v>
      </c>
      <c r="L67" s="122">
        <v>7.5</v>
      </c>
      <c r="M67" s="122">
        <v>1.056</v>
      </c>
      <c r="N67" s="122">
        <v>1.07</v>
      </c>
      <c r="O67" s="122">
        <v>1.008</v>
      </c>
      <c r="P67" s="122">
        <v>1.014</v>
      </c>
      <c r="Q67" s="122">
        <v>40</v>
      </c>
      <c r="R67" s="122">
        <v>70</v>
      </c>
      <c r="S67" s="122">
        <f t="shared" ref="S67:S102" si="12">(G67+H67)/2</f>
        <v>10</v>
      </c>
      <c r="T67" s="122">
        <f>Table2[[#This Row],[Average SRM]]*2</f>
        <v>20</v>
      </c>
      <c r="U67" s="122">
        <f t="shared" ref="U67:U102" si="13">(K67+L67)/2</f>
        <v>6.5</v>
      </c>
      <c r="V67" s="122">
        <f t="shared" ref="V67:V102" si="14">(M67+N67)/2</f>
        <v>1.0630000000000002</v>
      </c>
      <c r="W67" s="122">
        <f t="shared" ref="W67:W102" si="15">(O67+P67)/2</f>
        <v>1.0110000000000001</v>
      </c>
      <c r="X67" s="122">
        <f t="shared" ref="X67:X102" si="16">(Q67+R67)/2</f>
        <v>55</v>
      </c>
      <c r="Y67" s="122">
        <f t="shared" ref="Y67:Y98" si="17">ROUND((X67/(V67*1000-1000)),2)</f>
        <v>0.87</v>
      </c>
    </row>
    <row r="68" spans="1:25">
      <c r="A68" s="122" t="s">
        <v>518</v>
      </c>
      <c r="B68" s="122" t="s">
        <v>378</v>
      </c>
      <c r="C68" s="1"/>
      <c r="D68" s="1"/>
      <c r="E68" s="1"/>
      <c r="F68" s="1">
        <v>1</v>
      </c>
      <c r="G68" s="122">
        <v>5</v>
      </c>
      <c r="H68" s="122">
        <v>15</v>
      </c>
      <c r="I68" s="122">
        <f>2*Table2[[#This Row],[Minimum SRM]]</f>
        <v>10</v>
      </c>
      <c r="J68" s="122">
        <f>2*Table2[[#This Row],[Minimum EBC]]</f>
        <v>20</v>
      </c>
      <c r="K68" s="122">
        <v>6.2</v>
      </c>
      <c r="L68" s="122">
        <v>9.5</v>
      </c>
      <c r="M68" s="122">
        <v>1.0580000000000001</v>
      </c>
      <c r="N68" s="122">
        <v>1.08</v>
      </c>
      <c r="O68" s="122">
        <v>1.008</v>
      </c>
      <c r="P68" s="122">
        <v>1.016</v>
      </c>
      <c r="Q68" s="122">
        <v>50</v>
      </c>
      <c r="R68" s="122">
        <v>100</v>
      </c>
      <c r="S68" s="122">
        <f t="shared" si="12"/>
        <v>10</v>
      </c>
      <c r="T68" s="122">
        <f>Table2[[#This Row],[Average SRM]]*2</f>
        <v>20</v>
      </c>
      <c r="U68" s="122">
        <f t="shared" si="13"/>
        <v>7.85</v>
      </c>
      <c r="V68" s="122">
        <f t="shared" si="14"/>
        <v>1.069</v>
      </c>
      <c r="W68" s="122">
        <f t="shared" si="15"/>
        <v>1.012</v>
      </c>
      <c r="X68" s="122">
        <f t="shared" si="16"/>
        <v>75</v>
      </c>
      <c r="Y68" s="122">
        <f t="shared" si="17"/>
        <v>1.0900000000000001</v>
      </c>
    </row>
    <row r="69" spans="1:25">
      <c r="A69" s="122" t="s">
        <v>519</v>
      </c>
      <c r="B69" s="122" t="s">
        <v>378</v>
      </c>
      <c r="C69" s="1"/>
      <c r="D69" s="1"/>
      <c r="E69" s="1"/>
      <c r="F69" s="1">
        <v>1</v>
      </c>
      <c r="G69" s="122">
        <v>25</v>
      </c>
      <c r="H69" s="122">
        <v>40</v>
      </c>
      <c r="I69" s="122">
        <f>2*Table2[[#This Row],[Minimum SRM]]</f>
        <v>50</v>
      </c>
      <c r="J69" s="122">
        <f>2*Table2[[#This Row],[Minimum EBC]]</f>
        <v>100</v>
      </c>
      <c r="K69" s="122">
        <v>5.5</v>
      </c>
      <c r="L69" s="122">
        <v>9</v>
      </c>
      <c r="M69" s="122">
        <v>1.05</v>
      </c>
      <c r="N69" s="122">
        <v>1.085</v>
      </c>
      <c r="O69" s="122">
        <v>1.01</v>
      </c>
      <c r="P69" s="122">
        <v>1.018</v>
      </c>
      <c r="Q69" s="122">
        <v>50</v>
      </c>
      <c r="R69" s="122">
        <v>90</v>
      </c>
      <c r="S69" s="122">
        <f t="shared" si="12"/>
        <v>32.5</v>
      </c>
      <c r="T69" s="122">
        <f>Table2[[#This Row],[Average SRM]]*2</f>
        <v>65</v>
      </c>
      <c r="U69" s="122">
        <f t="shared" si="13"/>
        <v>7.25</v>
      </c>
      <c r="V69" s="122">
        <f t="shared" si="14"/>
        <v>1.0674999999999999</v>
      </c>
      <c r="W69" s="122">
        <f t="shared" si="15"/>
        <v>1.014</v>
      </c>
      <c r="X69" s="122">
        <f t="shared" si="16"/>
        <v>70</v>
      </c>
      <c r="Y69" s="122">
        <f t="shared" si="17"/>
        <v>1.04</v>
      </c>
    </row>
    <row r="70" spans="1:25">
      <c r="A70" s="122" t="s">
        <v>520</v>
      </c>
      <c r="B70" s="122" t="s">
        <v>378</v>
      </c>
      <c r="C70" s="1"/>
      <c r="D70" s="1"/>
      <c r="E70" s="1"/>
      <c r="F70" s="1">
        <v>1</v>
      </c>
      <c r="G70" s="122">
        <v>11</v>
      </c>
      <c r="H70" s="122">
        <v>19</v>
      </c>
      <c r="I70" s="122">
        <f>2*Table2[[#This Row],[Minimum SRM]]</f>
        <v>22</v>
      </c>
      <c r="J70" s="122">
        <f>2*Table2[[#This Row],[Minimum EBC]]</f>
        <v>44</v>
      </c>
      <c r="K70" s="122">
        <v>5.5</v>
      </c>
      <c r="L70" s="122">
        <v>7</v>
      </c>
      <c r="M70" s="122">
        <v>1.056</v>
      </c>
      <c r="N70" s="122">
        <v>1.07</v>
      </c>
      <c r="O70" s="122">
        <v>1.008</v>
      </c>
      <c r="P70" s="122">
        <v>1.016</v>
      </c>
      <c r="Q70" s="122">
        <v>40</v>
      </c>
      <c r="R70" s="122">
        <v>70</v>
      </c>
      <c r="S70" s="122">
        <f t="shared" si="12"/>
        <v>15</v>
      </c>
      <c r="T70" s="122">
        <f>Table2[[#This Row],[Average SRM]]*2</f>
        <v>30</v>
      </c>
      <c r="U70" s="122">
        <f t="shared" si="13"/>
        <v>6.25</v>
      </c>
      <c r="V70" s="122">
        <f t="shared" si="14"/>
        <v>1.0630000000000002</v>
      </c>
      <c r="W70" s="122">
        <f t="shared" si="15"/>
        <v>1.012</v>
      </c>
      <c r="X70" s="122">
        <f t="shared" si="16"/>
        <v>55</v>
      </c>
      <c r="Y70" s="122">
        <f t="shared" si="17"/>
        <v>0.87</v>
      </c>
    </row>
    <row r="71" spans="1:25">
      <c r="A71" s="122" t="s">
        <v>521</v>
      </c>
      <c r="B71" s="122" t="s">
        <v>378</v>
      </c>
      <c r="C71" s="1"/>
      <c r="D71" s="1"/>
      <c r="E71" s="1"/>
      <c r="F71" s="1">
        <v>1</v>
      </c>
      <c r="G71" s="122">
        <v>11</v>
      </c>
      <c r="H71" s="122">
        <v>19</v>
      </c>
      <c r="I71" s="122">
        <f>2*Table2[[#This Row],[Minimum SRM]]</f>
        <v>22</v>
      </c>
      <c r="J71" s="122">
        <f>2*Table2[[#This Row],[Minimum EBC]]</f>
        <v>44</v>
      </c>
      <c r="K71" s="122">
        <v>5.5</v>
      </c>
      <c r="L71" s="122">
        <v>7.5</v>
      </c>
      <c r="M71" s="122">
        <v>1.056</v>
      </c>
      <c r="N71" s="122">
        <v>1.07</v>
      </c>
      <c r="O71" s="122">
        <v>1.008</v>
      </c>
      <c r="P71" s="122">
        <v>1.016</v>
      </c>
      <c r="Q71" s="122">
        <v>40</v>
      </c>
      <c r="R71" s="122">
        <v>70</v>
      </c>
      <c r="S71" s="122">
        <f t="shared" si="12"/>
        <v>15</v>
      </c>
      <c r="T71" s="122">
        <f>Table2[[#This Row],[Average SRM]]*2</f>
        <v>30</v>
      </c>
      <c r="U71" s="122">
        <f t="shared" si="13"/>
        <v>6.5</v>
      </c>
      <c r="V71" s="122">
        <f t="shared" si="14"/>
        <v>1.0630000000000002</v>
      </c>
      <c r="W71" s="122">
        <f t="shared" si="15"/>
        <v>1.012</v>
      </c>
      <c r="X71" s="122">
        <f t="shared" si="16"/>
        <v>55</v>
      </c>
      <c r="Y71" s="122">
        <f t="shared" si="17"/>
        <v>0.87</v>
      </c>
    </row>
    <row r="72" spans="1:25">
      <c r="A72" s="122" t="s">
        <v>522</v>
      </c>
      <c r="B72" s="122" t="s">
        <v>378</v>
      </c>
      <c r="C72" s="1"/>
      <c r="D72" s="1"/>
      <c r="E72" s="1"/>
      <c r="F72" s="1">
        <v>1</v>
      </c>
      <c r="G72" s="122">
        <v>6</v>
      </c>
      <c r="H72" s="122">
        <v>14</v>
      </c>
      <c r="I72" s="122">
        <f>2*Table2[[#This Row],[Minimum SRM]]</f>
        <v>12</v>
      </c>
      <c r="J72" s="122">
        <f>2*Table2[[#This Row],[Minimum EBC]]</f>
        <v>24</v>
      </c>
      <c r="K72" s="122">
        <v>5.5</v>
      </c>
      <c r="L72" s="122">
        <v>8</v>
      </c>
      <c r="M72" s="122">
        <v>1.056</v>
      </c>
      <c r="N72" s="122">
        <v>1.075</v>
      </c>
      <c r="O72" s="122">
        <v>1.008</v>
      </c>
      <c r="P72" s="122">
        <v>1.016</v>
      </c>
      <c r="Q72" s="122">
        <v>50</v>
      </c>
      <c r="R72" s="122">
        <v>75</v>
      </c>
      <c r="S72" s="122">
        <f t="shared" si="12"/>
        <v>10</v>
      </c>
      <c r="T72" s="122">
        <f>Table2[[#This Row],[Average SRM]]*2</f>
        <v>20</v>
      </c>
      <c r="U72" s="122">
        <f t="shared" si="13"/>
        <v>6.75</v>
      </c>
      <c r="V72" s="122">
        <f t="shared" si="14"/>
        <v>1.0655000000000001</v>
      </c>
      <c r="W72" s="122">
        <f t="shared" si="15"/>
        <v>1.012</v>
      </c>
      <c r="X72" s="122">
        <f t="shared" si="16"/>
        <v>62.5</v>
      </c>
      <c r="Y72" s="122">
        <f t="shared" si="17"/>
        <v>0.95</v>
      </c>
    </row>
    <row r="73" spans="1:25">
      <c r="A73" s="122" t="s">
        <v>523</v>
      </c>
      <c r="B73" s="122" t="s">
        <v>378</v>
      </c>
      <c r="C73" s="1"/>
      <c r="D73" s="1"/>
      <c r="E73" s="1"/>
      <c r="F73" s="1">
        <v>1</v>
      </c>
      <c r="G73" s="122">
        <v>5</v>
      </c>
      <c r="H73" s="122">
        <v>8</v>
      </c>
      <c r="I73" s="122">
        <f>2*Table2[[#This Row],[Minimum SRM]]</f>
        <v>10</v>
      </c>
      <c r="J73" s="122">
        <f>2*Table2[[#This Row],[Minimum EBC]]</f>
        <v>20</v>
      </c>
      <c r="K73" s="122">
        <v>5.5</v>
      </c>
      <c r="L73" s="122">
        <v>7</v>
      </c>
      <c r="M73" s="122">
        <v>1.056</v>
      </c>
      <c r="N73" s="122">
        <v>1.0649999999999999</v>
      </c>
      <c r="O73" s="122">
        <v>1.01</v>
      </c>
      <c r="P73" s="122">
        <v>1.016</v>
      </c>
      <c r="Q73" s="122">
        <v>40</v>
      </c>
      <c r="R73" s="122">
        <v>70</v>
      </c>
      <c r="S73" s="122">
        <f t="shared" si="12"/>
        <v>6.5</v>
      </c>
      <c r="T73" s="122">
        <f>Table2[[#This Row],[Average SRM]]*2</f>
        <v>13</v>
      </c>
      <c r="U73" s="122">
        <f t="shared" si="13"/>
        <v>6.25</v>
      </c>
      <c r="V73" s="122">
        <f t="shared" si="14"/>
        <v>1.0605</v>
      </c>
      <c r="W73" s="122">
        <f t="shared" si="15"/>
        <v>1.0129999999999999</v>
      </c>
      <c r="X73" s="122">
        <f t="shared" si="16"/>
        <v>55</v>
      </c>
      <c r="Y73" s="122">
        <f t="shared" si="17"/>
        <v>0.91</v>
      </c>
    </row>
    <row r="74" spans="1:25">
      <c r="A74" s="122" t="s">
        <v>524</v>
      </c>
      <c r="B74" s="122" t="s">
        <v>525</v>
      </c>
      <c r="C74" s="1"/>
      <c r="D74" s="1"/>
      <c r="E74" s="1"/>
      <c r="F74" s="1">
        <v>1</v>
      </c>
      <c r="G74" s="122">
        <v>6</v>
      </c>
      <c r="H74" s="122">
        <v>14</v>
      </c>
      <c r="I74" s="122">
        <f>2*Table2[[#This Row],[Minimum SRM]]</f>
        <v>12</v>
      </c>
      <c r="J74" s="122">
        <f>2*Table2[[#This Row],[Minimum EBC]]</f>
        <v>24</v>
      </c>
      <c r="K74" s="122">
        <v>7.5</v>
      </c>
      <c r="L74" s="122">
        <v>10</v>
      </c>
      <c r="M74" s="122">
        <v>1.0649999999999999</v>
      </c>
      <c r="N74" s="122">
        <v>1.085</v>
      </c>
      <c r="O74" s="122">
        <v>1.008</v>
      </c>
      <c r="P74" s="122">
        <v>1.016</v>
      </c>
      <c r="Q74" s="122">
        <v>60</v>
      </c>
      <c r="R74" s="122">
        <v>120</v>
      </c>
      <c r="S74" s="122">
        <f t="shared" si="12"/>
        <v>10</v>
      </c>
      <c r="T74" s="122">
        <f>Table2[[#This Row],[Average SRM]]*2</f>
        <v>20</v>
      </c>
      <c r="U74" s="122">
        <f t="shared" si="13"/>
        <v>8.75</v>
      </c>
      <c r="V74" s="122">
        <f t="shared" si="14"/>
        <v>1.075</v>
      </c>
      <c r="W74" s="122">
        <f t="shared" si="15"/>
        <v>1.012</v>
      </c>
      <c r="X74" s="122">
        <f t="shared" si="16"/>
        <v>90</v>
      </c>
      <c r="Y74" s="122">
        <f t="shared" si="17"/>
        <v>1.2</v>
      </c>
    </row>
    <row r="75" spans="1:25">
      <c r="A75" s="122" t="s">
        <v>526</v>
      </c>
      <c r="B75" s="122" t="s">
        <v>525</v>
      </c>
      <c r="C75" s="1"/>
      <c r="D75" s="1"/>
      <c r="E75" s="1"/>
      <c r="F75" s="1">
        <v>1</v>
      </c>
      <c r="G75" s="122">
        <v>7</v>
      </c>
      <c r="H75" s="122">
        <v>19</v>
      </c>
      <c r="I75" s="122">
        <f>2*Table2[[#This Row],[Minimum SRM]]</f>
        <v>14</v>
      </c>
      <c r="J75" s="122">
        <f>2*Table2[[#This Row],[Minimum EBC]]</f>
        <v>28</v>
      </c>
      <c r="K75" s="122">
        <v>6.3</v>
      </c>
      <c r="L75" s="122">
        <v>10</v>
      </c>
      <c r="M75" s="122">
        <v>1.0620000000000001</v>
      </c>
      <c r="N75" s="122">
        <v>1.0900000000000001</v>
      </c>
      <c r="O75" s="122">
        <v>1.014</v>
      </c>
      <c r="P75" s="122">
        <v>1.016</v>
      </c>
      <c r="Q75" s="122">
        <v>50</v>
      </c>
      <c r="R75" s="122">
        <v>100</v>
      </c>
      <c r="S75" s="122">
        <f t="shared" si="12"/>
        <v>13</v>
      </c>
      <c r="T75" s="122">
        <f>Table2[[#This Row],[Average SRM]]*2</f>
        <v>26</v>
      </c>
      <c r="U75" s="122">
        <f t="shared" si="13"/>
        <v>8.15</v>
      </c>
      <c r="V75" s="122">
        <f t="shared" si="14"/>
        <v>1.0760000000000001</v>
      </c>
      <c r="W75" s="122">
        <f t="shared" si="15"/>
        <v>1.0150000000000001</v>
      </c>
      <c r="X75" s="122">
        <f t="shared" si="16"/>
        <v>75</v>
      </c>
      <c r="Y75" s="122">
        <f t="shared" si="17"/>
        <v>0.99</v>
      </c>
    </row>
    <row r="76" spans="1:25">
      <c r="A76" s="122" t="s">
        <v>527</v>
      </c>
      <c r="B76" s="122" t="s">
        <v>525</v>
      </c>
      <c r="C76" s="1"/>
      <c r="D76" s="1"/>
      <c r="E76" s="1"/>
      <c r="F76" s="1">
        <v>1</v>
      </c>
      <c r="G76" s="122">
        <v>10</v>
      </c>
      <c r="H76" s="122">
        <v>19</v>
      </c>
      <c r="I76" s="122">
        <f>2*Table2[[#This Row],[Minimum SRM]]</f>
        <v>20</v>
      </c>
      <c r="J76" s="122">
        <f>2*Table2[[#This Row],[Minimum EBC]]</f>
        <v>40</v>
      </c>
      <c r="K76" s="122">
        <v>8</v>
      </c>
      <c r="L76" s="122">
        <v>12</v>
      </c>
      <c r="M76" s="122">
        <v>1.08</v>
      </c>
      <c r="N76" s="122">
        <v>1.1200000000000001</v>
      </c>
      <c r="O76" s="122">
        <v>1.016</v>
      </c>
      <c r="P76" s="122">
        <v>1.016</v>
      </c>
      <c r="Q76" s="122">
        <v>50</v>
      </c>
      <c r="R76" s="122">
        <v>100</v>
      </c>
      <c r="S76" s="122">
        <f t="shared" si="12"/>
        <v>14.5</v>
      </c>
      <c r="T76" s="122">
        <f>Table2[[#This Row],[Average SRM]]*2</f>
        <v>29</v>
      </c>
      <c r="U76" s="122">
        <f t="shared" si="13"/>
        <v>10</v>
      </c>
      <c r="V76" s="122">
        <f t="shared" si="14"/>
        <v>1.1000000000000001</v>
      </c>
      <c r="W76" s="122">
        <f t="shared" si="15"/>
        <v>1.016</v>
      </c>
      <c r="X76" s="122">
        <f t="shared" si="16"/>
        <v>75</v>
      </c>
      <c r="Y76" s="122">
        <f t="shared" si="17"/>
        <v>0.75</v>
      </c>
    </row>
    <row r="77" spans="1:25">
      <c r="A77" s="122" t="s">
        <v>528</v>
      </c>
      <c r="B77" s="122" t="s">
        <v>525</v>
      </c>
      <c r="C77" s="1">
        <v>1</v>
      </c>
      <c r="D77" s="1"/>
      <c r="E77" s="1"/>
      <c r="F77" s="1"/>
      <c r="G77" s="122">
        <v>8</v>
      </c>
      <c r="H77" s="122">
        <v>15</v>
      </c>
      <c r="I77" s="122">
        <f>2*Table2[[#This Row],[Minimum SRM]]</f>
        <v>16</v>
      </c>
      <c r="J77" s="122">
        <f>2*Table2[[#This Row],[Minimum EBC]]</f>
        <v>32</v>
      </c>
      <c r="K77" s="122">
        <v>8</v>
      </c>
      <c r="L77" s="122">
        <v>12</v>
      </c>
      <c r="M77" s="122">
        <v>1.08</v>
      </c>
      <c r="N77" s="122">
        <v>1.1200000000000001</v>
      </c>
      <c r="O77" s="122">
        <v>1.016</v>
      </c>
      <c r="P77" s="122">
        <v>1.016</v>
      </c>
      <c r="Q77" s="122">
        <v>30</v>
      </c>
      <c r="R77" s="122">
        <v>60</v>
      </c>
      <c r="S77" s="122">
        <f t="shared" si="12"/>
        <v>11.5</v>
      </c>
      <c r="T77" s="122">
        <f>Table2[[#This Row],[Average SRM]]*2</f>
        <v>23</v>
      </c>
      <c r="U77" s="122">
        <f t="shared" si="13"/>
        <v>10</v>
      </c>
      <c r="V77" s="122">
        <f t="shared" si="14"/>
        <v>1.1000000000000001</v>
      </c>
      <c r="W77" s="122">
        <f t="shared" si="15"/>
        <v>1.016</v>
      </c>
      <c r="X77" s="122">
        <f t="shared" si="16"/>
        <v>45</v>
      </c>
      <c r="Y77" s="122">
        <f t="shared" si="17"/>
        <v>0.45</v>
      </c>
    </row>
    <row r="78" spans="1:25">
      <c r="A78" s="122" t="s">
        <v>529</v>
      </c>
      <c r="B78" s="122" t="s">
        <v>530</v>
      </c>
      <c r="C78" s="1"/>
      <c r="D78" s="1"/>
      <c r="E78" s="1"/>
      <c r="F78" s="1"/>
      <c r="G78" s="122">
        <v>2</v>
      </c>
      <c r="H78" s="122">
        <v>3</v>
      </c>
      <c r="I78" s="122">
        <f>2*Table2[[#This Row],[Minimum SRM]]</f>
        <v>4</v>
      </c>
      <c r="J78" s="122">
        <f>2*Table2[[#This Row],[Minimum EBC]]</f>
        <v>8</v>
      </c>
      <c r="K78" s="122">
        <v>2.8</v>
      </c>
      <c r="L78" s="122">
        <v>3.8</v>
      </c>
      <c r="M78" s="122">
        <v>1.028</v>
      </c>
      <c r="N78" s="122">
        <v>1.032</v>
      </c>
      <c r="O78" s="122">
        <v>1.0029999999999999</v>
      </c>
      <c r="P78" s="122">
        <v>1.016</v>
      </c>
      <c r="Q78" s="122">
        <v>3</v>
      </c>
      <c r="R78" s="122">
        <v>8</v>
      </c>
      <c r="S78" s="122">
        <f t="shared" si="12"/>
        <v>2.5</v>
      </c>
      <c r="T78" s="122">
        <f>Table2[[#This Row],[Average SRM]]*2</f>
        <v>5</v>
      </c>
      <c r="U78" s="122">
        <f t="shared" si="13"/>
        <v>3.3</v>
      </c>
      <c r="V78" s="122">
        <f t="shared" si="14"/>
        <v>1.03</v>
      </c>
      <c r="W78" s="122">
        <f t="shared" si="15"/>
        <v>1.0095000000000001</v>
      </c>
      <c r="X78" s="122">
        <f t="shared" si="16"/>
        <v>5.5</v>
      </c>
      <c r="Y78" s="122">
        <f t="shared" si="17"/>
        <v>0.18</v>
      </c>
    </row>
    <row r="79" spans="1:25">
      <c r="A79" s="122" t="s">
        <v>531</v>
      </c>
      <c r="B79" s="122" t="s">
        <v>530</v>
      </c>
      <c r="C79" s="1">
        <v>1</v>
      </c>
      <c r="D79" s="1"/>
      <c r="E79" s="1"/>
      <c r="F79" s="1"/>
      <c r="G79" s="122">
        <v>10</v>
      </c>
      <c r="H79" s="122">
        <v>16</v>
      </c>
      <c r="I79" s="122">
        <f>2*Table2[[#This Row],[Minimum SRM]]</f>
        <v>20</v>
      </c>
      <c r="J79" s="122">
        <f>2*Table2[[#This Row],[Minimum EBC]]</f>
        <v>40</v>
      </c>
      <c r="K79" s="122">
        <v>4.5999999999999996</v>
      </c>
      <c r="L79" s="122">
        <v>6.5</v>
      </c>
      <c r="M79" s="122">
        <v>1.048</v>
      </c>
      <c r="N79" s="122">
        <v>1.0569999999999999</v>
      </c>
      <c r="O79" s="122">
        <v>1.002</v>
      </c>
      <c r="P79" s="122">
        <v>1.016</v>
      </c>
      <c r="Q79" s="122">
        <v>10</v>
      </c>
      <c r="R79" s="122">
        <v>25</v>
      </c>
      <c r="S79" s="122">
        <f t="shared" si="12"/>
        <v>13</v>
      </c>
      <c r="T79" s="122">
        <f>Table2[[#This Row],[Average SRM]]*2</f>
        <v>26</v>
      </c>
      <c r="U79" s="122">
        <f t="shared" si="13"/>
        <v>5.55</v>
      </c>
      <c r="V79" s="122">
        <f t="shared" si="14"/>
        <v>1.0525</v>
      </c>
      <c r="W79" s="122">
        <f t="shared" si="15"/>
        <v>1.0089999999999999</v>
      </c>
      <c r="X79" s="122">
        <f t="shared" si="16"/>
        <v>17.5</v>
      </c>
      <c r="Y79" s="122">
        <f t="shared" si="17"/>
        <v>0.33</v>
      </c>
    </row>
    <row r="80" spans="1:25">
      <c r="A80" s="122" t="s">
        <v>532</v>
      </c>
      <c r="B80" s="122" t="s">
        <v>530</v>
      </c>
      <c r="C80" s="1"/>
      <c r="D80" s="1">
        <v>1</v>
      </c>
      <c r="E80" s="1"/>
      <c r="F80" s="1"/>
      <c r="G80" s="122">
        <v>15</v>
      </c>
      <c r="H80" s="122">
        <v>22</v>
      </c>
      <c r="I80" s="122">
        <f>2*Table2[[#This Row],[Minimum SRM]]</f>
        <v>30</v>
      </c>
      <c r="J80" s="122">
        <f>2*Table2[[#This Row],[Minimum EBC]]</f>
        <v>60</v>
      </c>
      <c r="K80" s="122">
        <v>4</v>
      </c>
      <c r="L80" s="122">
        <v>8</v>
      </c>
      <c r="M80" s="122">
        <v>1.04</v>
      </c>
      <c r="N80" s="122">
        <v>1.0740000000000001</v>
      </c>
      <c r="O80" s="122">
        <v>1.008</v>
      </c>
      <c r="P80" s="122">
        <v>1.016</v>
      </c>
      <c r="Q80" s="122">
        <v>20</v>
      </c>
      <c r="R80" s="122">
        <v>25</v>
      </c>
      <c r="S80" s="122">
        <f t="shared" si="12"/>
        <v>18.5</v>
      </c>
      <c r="T80" s="122">
        <f>Table2[[#This Row],[Average SRM]]*2</f>
        <v>37</v>
      </c>
      <c r="U80" s="122">
        <f t="shared" si="13"/>
        <v>6</v>
      </c>
      <c r="V80" s="122">
        <f t="shared" si="14"/>
        <v>1.0569999999999999</v>
      </c>
      <c r="W80" s="122">
        <f t="shared" si="15"/>
        <v>1.012</v>
      </c>
      <c r="X80" s="122">
        <f t="shared" si="16"/>
        <v>22.5</v>
      </c>
      <c r="Y80" s="122">
        <f t="shared" si="17"/>
        <v>0.39</v>
      </c>
    </row>
    <row r="81" spans="1:25">
      <c r="A81" s="122" t="s">
        <v>533</v>
      </c>
      <c r="B81" s="122" t="s">
        <v>534</v>
      </c>
      <c r="C81" s="1"/>
      <c r="D81" s="1">
        <v>1</v>
      </c>
      <c r="E81" s="1"/>
      <c r="F81" s="1"/>
      <c r="G81" s="122">
        <v>2</v>
      </c>
      <c r="H81" s="122">
        <v>4</v>
      </c>
      <c r="I81" s="122">
        <f>2*Table2[[#This Row],[Minimum SRM]]</f>
        <v>4</v>
      </c>
      <c r="J81" s="122">
        <f>2*Table2[[#This Row],[Minimum EBC]]</f>
        <v>8</v>
      </c>
      <c r="K81" s="122">
        <v>4.5</v>
      </c>
      <c r="L81" s="122">
        <v>5.5</v>
      </c>
      <c r="M81" s="122">
        <v>1.044</v>
      </c>
      <c r="N81" s="122">
        <v>1.052</v>
      </c>
      <c r="O81" s="122">
        <v>1.008</v>
      </c>
      <c r="P81" s="122">
        <v>1.016</v>
      </c>
      <c r="Q81" s="122">
        <v>8</v>
      </c>
      <c r="R81" s="122">
        <v>20</v>
      </c>
      <c r="S81" s="122">
        <f t="shared" si="12"/>
        <v>3</v>
      </c>
      <c r="T81" s="122">
        <f>Table2[[#This Row],[Average SRM]]*2</f>
        <v>6</v>
      </c>
      <c r="U81" s="122">
        <f t="shared" si="13"/>
        <v>5</v>
      </c>
      <c r="V81" s="122">
        <f t="shared" si="14"/>
        <v>1.048</v>
      </c>
      <c r="W81" s="122">
        <f t="shared" si="15"/>
        <v>1.012</v>
      </c>
      <c r="X81" s="122">
        <f t="shared" si="16"/>
        <v>14</v>
      </c>
      <c r="Y81" s="122">
        <f t="shared" si="17"/>
        <v>0.28999999999999998</v>
      </c>
    </row>
    <row r="82" spans="1:25">
      <c r="A82" s="122" t="s">
        <v>535</v>
      </c>
      <c r="B82" s="122" t="s">
        <v>534</v>
      </c>
      <c r="C82" s="1">
        <v>1</v>
      </c>
      <c r="D82" s="1"/>
      <c r="E82" s="1"/>
      <c r="F82" s="1"/>
      <c r="G82" s="122">
        <v>8</v>
      </c>
      <c r="H82" s="122">
        <v>14</v>
      </c>
      <c r="I82" s="122">
        <f>2*Table2[[#This Row],[Minimum SRM]]</f>
        <v>16</v>
      </c>
      <c r="J82" s="122">
        <f>2*Table2[[#This Row],[Minimum EBC]]</f>
        <v>32</v>
      </c>
      <c r="K82" s="122">
        <v>4.8</v>
      </c>
      <c r="L82" s="122">
        <v>5.5</v>
      </c>
      <c r="M82" s="122">
        <v>1.048</v>
      </c>
      <c r="N82" s="122">
        <v>1.054</v>
      </c>
      <c r="O82" s="122">
        <v>1.01</v>
      </c>
      <c r="P82" s="122">
        <v>1.016</v>
      </c>
      <c r="Q82" s="122">
        <v>20</v>
      </c>
      <c r="R82" s="122">
        <v>30</v>
      </c>
      <c r="S82" s="122">
        <f t="shared" si="12"/>
        <v>11</v>
      </c>
      <c r="T82" s="122">
        <f>Table2[[#This Row],[Average SRM]]*2</f>
        <v>22</v>
      </c>
      <c r="U82" s="122">
        <f t="shared" si="13"/>
        <v>5.15</v>
      </c>
      <c r="V82" s="122">
        <f t="shared" si="14"/>
        <v>1.0510000000000002</v>
      </c>
      <c r="W82" s="122">
        <f t="shared" si="15"/>
        <v>1.0129999999999999</v>
      </c>
      <c r="X82" s="122">
        <f t="shared" si="16"/>
        <v>25</v>
      </c>
      <c r="Y82" s="122">
        <f t="shared" si="17"/>
        <v>0.49</v>
      </c>
    </row>
    <row r="83" spans="1:25">
      <c r="A83" s="122" t="s">
        <v>536</v>
      </c>
      <c r="B83" s="122" t="s">
        <v>534</v>
      </c>
      <c r="C83" s="1"/>
      <c r="D83" s="1">
        <v>1</v>
      </c>
      <c r="E83" s="1"/>
      <c r="F83" s="1"/>
      <c r="G83" s="122">
        <v>6</v>
      </c>
      <c r="H83" s="122">
        <v>19</v>
      </c>
      <c r="I83" s="122">
        <f>2*Table2[[#This Row],[Minimum SRM]]</f>
        <v>12</v>
      </c>
      <c r="J83" s="122">
        <f>2*Table2[[#This Row],[Minimum EBC]]</f>
        <v>24</v>
      </c>
      <c r="K83" s="122">
        <v>6</v>
      </c>
      <c r="L83" s="122">
        <v>8.5</v>
      </c>
      <c r="M83" s="122">
        <v>1.06</v>
      </c>
      <c r="N83" s="122">
        <v>1.08</v>
      </c>
      <c r="O83" s="122">
        <v>1.008</v>
      </c>
      <c r="P83" s="122">
        <v>1.016</v>
      </c>
      <c r="Q83" s="122">
        <v>18</v>
      </c>
      <c r="R83" s="122">
        <v>28</v>
      </c>
      <c r="S83" s="122">
        <f t="shared" si="12"/>
        <v>12.5</v>
      </c>
      <c r="T83" s="122">
        <f>Table2[[#This Row],[Average SRM]]*2</f>
        <v>25</v>
      </c>
      <c r="U83" s="122">
        <f t="shared" si="13"/>
        <v>7.25</v>
      </c>
      <c r="V83" s="122">
        <f t="shared" si="14"/>
        <v>1.07</v>
      </c>
      <c r="W83" s="122">
        <f t="shared" si="15"/>
        <v>1.012</v>
      </c>
      <c r="X83" s="122">
        <f t="shared" si="16"/>
        <v>23</v>
      </c>
      <c r="Y83" s="122">
        <f t="shared" si="17"/>
        <v>0.33</v>
      </c>
    </row>
    <row r="84" spans="1:25">
      <c r="A84" s="122" t="s">
        <v>537</v>
      </c>
      <c r="B84" s="122" t="s">
        <v>530</v>
      </c>
      <c r="C84" s="1"/>
      <c r="D84" s="1"/>
      <c r="E84" s="1">
        <v>1</v>
      </c>
      <c r="F84" s="1"/>
      <c r="G84" s="122">
        <v>3</v>
      </c>
      <c r="H84" s="122">
        <v>7</v>
      </c>
      <c r="I84" s="122">
        <f>2*Table2[[#This Row],[Minimum SRM]]</f>
        <v>6</v>
      </c>
      <c r="J84" s="122">
        <f>2*Table2[[#This Row],[Minimum EBC]]</f>
        <v>12</v>
      </c>
      <c r="K84" s="122">
        <v>5</v>
      </c>
      <c r="L84" s="122">
        <v>6.5</v>
      </c>
      <c r="M84" s="122">
        <v>1.04</v>
      </c>
      <c r="N84" s="122">
        <v>1.054</v>
      </c>
      <c r="O84" s="122">
        <v>1.0009999999999999</v>
      </c>
      <c r="P84" s="122">
        <v>1.016</v>
      </c>
      <c r="Q84" s="122">
        <v>0</v>
      </c>
      <c r="R84" s="122">
        <v>10</v>
      </c>
      <c r="S84" s="122">
        <f t="shared" si="12"/>
        <v>5</v>
      </c>
      <c r="T84" s="122">
        <f>Table2[[#This Row],[Average SRM]]*2</f>
        <v>10</v>
      </c>
      <c r="U84" s="122">
        <f t="shared" si="13"/>
        <v>5.75</v>
      </c>
      <c r="V84" s="122">
        <f t="shared" si="14"/>
        <v>1.0470000000000002</v>
      </c>
      <c r="W84" s="122">
        <f t="shared" si="15"/>
        <v>1.0085</v>
      </c>
      <c r="X84" s="122">
        <f t="shared" si="16"/>
        <v>5</v>
      </c>
      <c r="Y84" s="122">
        <f t="shared" si="17"/>
        <v>0.11</v>
      </c>
    </row>
    <row r="85" spans="1:25">
      <c r="A85" s="122" t="s">
        <v>538</v>
      </c>
      <c r="B85" s="122" t="s">
        <v>530</v>
      </c>
      <c r="C85" s="1"/>
      <c r="D85" s="1"/>
      <c r="E85" s="1">
        <v>1</v>
      </c>
      <c r="F85" s="1"/>
      <c r="G85" s="122">
        <v>3</v>
      </c>
      <c r="H85" s="122">
        <v>7</v>
      </c>
      <c r="I85" s="122">
        <f>2*Table2[[#This Row],[Minimum SRM]]</f>
        <v>6</v>
      </c>
      <c r="J85" s="122">
        <f>2*Table2[[#This Row],[Minimum EBC]]</f>
        <v>12</v>
      </c>
      <c r="K85" s="122">
        <v>5</v>
      </c>
      <c r="L85" s="122">
        <v>8</v>
      </c>
      <c r="M85" s="122">
        <v>1.04</v>
      </c>
      <c r="N85" s="122">
        <v>1.06</v>
      </c>
      <c r="O85" s="122">
        <v>1</v>
      </c>
      <c r="P85" s="122">
        <v>1.016</v>
      </c>
      <c r="Q85" s="122">
        <v>0</v>
      </c>
      <c r="R85" s="122">
        <v>10</v>
      </c>
      <c r="S85" s="122">
        <f t="shared" si="12"/>
        <v>5</v>
      </c>
      <c r="T85" s="122">
        <f>Table2[[#This Row],[Average SRM]]*2</f>
        <v>10</v>
      </c>
      <c r="U85" s="122">
        <f t="shared" si="13"/>
        <v>6.5</v>
      </c>
      <c r="V85" s="122">
        <f t="shared" si="14"/>
        <v>1.05</v>
      </c>
      <c r="W85" s="122">
        <f t="shared" si="15"/>
        <v>1.008</v>
      </c>
      <c r="X85" s="122">
        <f t="shared" si="16"/>
        <v>5</v>
      </c>
      <c r="Y85" s="122">
        <f t="shared" si="17"/>
        <v>0.1</v>
      </c>
    </row>
    <row r="86" spans="1:25">
      <c r="A86" s="122" t="s">
        <v>539</v>
      </c>
      <c r="B86" s="122" t="s">
        <v>530</v>
      </c>
      <c r="C86" s="1"/>
      <c r="D86" s="1"/>
      <c r="E86" s="1">
        <v>1</v>
      </c>
      <c r="F86" s="1"/>
      <c r="G86" s="122">
        <v>3</v>
      </c>
      <c r="H86" s="122">
        <v>7</v>
      </c>
      <c r="I86" s="122">
        <f>2*Table2[[#This Row],[Minimum SRM]]</f>
        <v>6</v>
      </c>
      <c r="J86" s="122">
        <f>2*Table2[[#This Row],[Minimum EBC]]</f>
        <v>12</v>
      </c>
      <c r="K86" s="122">
        <v>5</v>
      </c>
      <c r="L86" s="122">
        <v>7</v>
      </c>
      <c r="M86" s="122">
        <v>1.04</v>
      </c>
      <c r="N86" s="122">
        <v>1.06</v>
      </c>
      <c r="O86" s="122">
        <v>1</v>
      </c>
      <c r="P86" s="122">
        <v>1.016</v>
      </c>
      <c r="Q86" s="122">
        <v>0</v>
      </c>
      <c r="R86" s="122">
        <v>10</v>
      </c>
      <c r="S86" s="122">
        <f t="shared" si="12"/>
        <v>5</v>
      </c>
      <c r="T86" s="122">
        <f>Table2[[#This Row],[Average SRM]]*2</f>
        <v>10</v>
      </c>
      <c r="U86" s="122">
        <f t="shared" si="13"/>
        <v>6</v>
      </c>
      <c r="V86" s="122">
        <f t="shared" si="14"/>
        <v>1.05</v>
      </c>
      <c r="W86" s="122">
        <f t="shared" si="15"/>
        <v>1.008</v>
      </c>
      <c r="X86" s="122">
        <f t="shared" si="16"/>
        <v>5</v>
      </c>
      <c r="Y86" s="122">
        <f t="shared" si="17"/>
        <v>0.1</v>
      </c>
    </row>
    <row r="87" spans="1:25">
      <c r="A87" s="122" t="s">
        <v>540</v>
      </c>
      <c r="B87" s="122" t="s">
        <v>541</v>
      </c>
      <c r="C87" s="1">
        <v>1</v>
      </c>
      <c r="D87" s="1"/>
      <c r="E87" s="1"/>
      <c r="F87" s="1"/>
      <c r="G87" s="122">
        <v>4</v>
      </c>
      <c r="H87" s="122">
        <v>7</v>
      </c>
      <c r="I87" s="122">
        <f>2*Table2[[#This Row],[Minimum SRM]]</f>
        <v>8</v>
      </c>
      <c r="J87" s="122">
        <f>2*Table2[[#This Row],[Minimum EBC]]</f>
        <v>16</v>
      </c>
      <c r="K87" s="122">
        <v>6</v>
      </c>
      <c r="L87" s="122">
        <v>7.5</v>
      </c>
      <c r="M87" s="122">
        <v>1.0620000000000001</v>
      </c>
      <c r="N87" s="122">
        <v>1.075</v>
      </c>
      <c r="O87" s="122">
        <v>1.008</v>
      </c>
      <c r="P87" s="122">
        <v>1.016</v>
      </c>
      <c r="Q87" s="122">
        <v>15</v>
      </c>
      <c r="R87" s="122">
        <v>30</v>
      </c>
      <c r="S87" s="122">
        <f t="shared" si="12"/>
        <v>5.5</v>
      </c>
      <c r="T87" s="122">
        <f>Table2[[#This Row],[Average SRM]]*2</f>
        <v>11</v>
      </c>
      <c r="U87" s="122">
        <f t="shared" si="13"/>
        <v>6.75</v>
      </c>
      <c r="V87" s="122">
        <f t="shared" si="14"/>
        <v>1.0685</v>
      </c>
      <c r="W87" s="122">
        <f t="shared" si="15"/>
        <v>1.012</v>
      </c>
      <c r="X87" s="122">
        <f t="shared" si="16"/>
        <v>22.5</v>
      </c>
      <c r="Y87" s="122">
        <f t="shared" si="17"/>
        <v>0.33</v>
      </c>
    </row>
    <row r="88" spans="1:25">
      <c r="A88" s="122" t="s">
        <v>542</v>
      </c>
      <c r="B88" s="122" t="s">
        <v>541</v>
      </c>
      <c r="C88" s="1"/>
      <c r="D88" s="1"/>
      <c r="E88" s="1"/>
      <c r="F88" s="1">
        <v>1</v>
      </c>
      <c r="G88" s="122">
        <v>5</v>
      </c>
      <c r="H88" s="122">
        <v>22</v>
      </c>
      <c r="I88" s="122">
        <f>2*Table2[[#This Row],[Minimum SRM]]</f>
        <v>10</v>
      </c>
      <c r="J88" s="122">
        <f>2*Table2[[#This Row],[Minimum EBC]]</f>
        <v>20</v>
      </c>
      <c r="K88" s="122">
        <v>3.5</v>
      </c>
      <c r="L88" s="122">
        <v>9.5</v>
      </c>
      <c r="M88" s="122">
        <v>1.048</v>
      </c>
      <c r="N88" s="122">
        <v>1.0649999999999999</v>
      </c>
      <c r="O88" s="122">
        <v>1.002</v>
      </c>
      <c r="P88" s="122">
        <v>1.016</v>
      </c>
      <c r="Q88" s="122">
        <v>20</v>
      </c>
      <c r="R88" s="122">
        <v>35</v>
      </c>
      <c r="S88" s="122">
        <f t="shared" si="12"/>
        <v>13.5</v>
      </c>
      <c r="T88" s="122">
        <f>Table2[[#This Row],[Average SRM]]*2</f>
        <v>27</v>
      </c>
      <c r="U88" s="122">
        <f t="shared" si="13"/>
        <v>6.5</v>
      </c>
      <c r="V88" s="122">
        <f t="shared" si="14"/>
        <v>1.0565</v>
      </c>
      <c r="W88" s="122">
        <f t="shared" si="15"/>
        <v>1.0089999999999999</v>
      </c>
      <c r="X88" s="122">
        <f t="shared" si="16"/>
        <v>27.5</v>
      </c>
      <c r="Y88" s="122">
        <f t="shared" si="17"/>
        <v>0.49</v>
      </c>
    </row>
    <row r="89" spans="1:25">
      <c r="A89" s="122" t="s">
        <v>543</v>
      </c>
      <c r="B89" s="122" t="s">
        <v>541</v>
      </c>
      <c r="C89" s="1"/>
      <c r="D89" s="1"/>
      <c r="E89" s="1"/>
      <c r="F89" s="1">
        <v>1</v>
      </c>
      <c r="G89" s="122">
        <v>3</v>
      </c>
      <c r="H89" s="122">
        <v>6</v>
      </c>
      <c r="I89" s="122">
        <f>2*Table2[[#This Row],[Minimum SRM]]</f>
        <v>6</v>
      </c>
      <c r="J89" s="122">
        <f>2*Table2[[#This Row],[Minimum EBC]]</f>
        <v>12</v>
      </c>
      <c r="K89" s="122">
        <v>7.5</v>
      </c>
      <c r="L89" s="122">
        <v>10.5</v>
      </c>
      <c r="M89" s="122">
        <v>1.07</v>
      </c>
      <c r="N89" s="122">
        <v>1.095</v>
      </c>
      <c r="O89" s="122">
        <v>1.0049999999999999</v>
      </c>
      <c r="P89" s="122">
        <v>1.016</v>
      </c>
      <c r="Q89" s="122">
        <v>22</v>
      </c>
      <c r="R89" s="122">
        <v>35</v>
      </c>
      <c r="S89" s="122">
        <f t="shared" si="12"/>
        <v>4.5</v>
      </c>
      <c r="T89" s="122">
        <f>Table2[[#This Row],[Average SRM]]*2</f>
        <v>9</v>
      </c>
      <c r="U89" s="122">
        <f t="shared" si="13"/>
        <v>9</v>
      </c>
      <c r="V89" s="122">
        <f t="shared" si="14"/>
        <v>1.0825</v>
      </c>
      <c r="W89" s="122">
        <f t="shared" si="15"/>
        <v>1.0105</v>
      </c>
      <c r="X89" s="122">
        <f t="shared" si="16"/>
        <v>28.5</v>
      </c>
      <c r="Y89" s="122">
        <f t="shared" si="17"/>
        <v>0.35</v>
      </c>
    </row>
    <row r="90" spans="1:25">
      <c r="A90" s="122" t="s">
        <v>544</v>
      </c>
      <c r="B90" s="122" t="s">
        <v>545</v>
      </c>
      <c r="C90" s="1"/>
      <c r="D90" s="1"/>
      <c r="E90" s="1"/>
      <c r="F90" s="1">
        <v>1</v>
      </c>
      <c r="G90" s="122">
        <v>3</v>
      </c>
      <c r="H90" s="122">
        <v>5</v>
      </c>
      <c r="I90" s="122">
        <f>2*Table2[[#This Row],[Minimum SRM]]</f>
        <v>6</v>
      </c>
      <c r="J90" s="122">
        <f>2*Table2[[#This Row],[Minimum EBC]]</f>
        <v>12</v>
      </c>
      <c r="K90" s="122">
        <v>4.8</v>
      </c>
      <c r="L90" s="122">
        <v>6</v>
      </c>
      <c r="M90" s="122">
        <v>1.044</v>
      </c>
      <c r="N90" s="122">
        <v>1.054</v>
      </c>
      <c r="O90" s="122">
        <v>1.004</v>
      </c>
      <c r="P90" s="122">
        <v>1.016</v>
      </c>
      <c r="Q90" s="122">
        <v>25</v>
      </c>
      <c r="R90" s="122">
        <v>45</v>
      </c>
      <c r="S90" s="122">
        <f t="shared" si="12"/>
        <v>4</v>
      </c>
      <c r="T90" s="122">
        <f>Table2[[#This Row],[Average SRM]]*2</f>
        <v>8</v>
      </c>
      <c r="U90" s="122">
        <f t="shared" si="13"/>
        <v>5.4</v>
      </c>
      <c r="V90" s="122">
        <f t="shared" si="14"/>
        <v>1.0489999999999999</v>
      </c>
      <c r="W90" s="122">
        <f t="shared" si="15"/>
        <v>1.01</v>
      </c>
      <c r="X90" s="122">
        <f t="shared" si="16"/>
        <v>35</v>
      </c>
      <c r="Y90" s="122">
        <f t="shared" si="17"/>
        <v>0.71</v>
      </c>
    </row>
    <row r="91" spans="1:25">
      <c r="A91" s="122" t="s">
        <v>546</v>
      </c>
      <c r="B91" s="122" t="s">
        <v>545</v>
      </c>
      <c r="C91" s="1"/>
      <c r="D91" s="1">
        <v>1</v>
      </c>
      <c r="E91" s="1"/>
      <c r="F91" s="1"/>
      <c r="G91" s="122">
        <v>10</v>
      </c>
      <c r="H91" s="122">
        <v>17</v>
      </c>
      <c r="I91" s="122">
        <f>2*Table2[[#This Row],[Minimum SRM]]</f>
        <v>20</v>
      </c>
      <c r="J91" s="122">
        <f>2*Table2[[#This Row],[Minimum EBC]]</f>
        <v>40</v>
      </c>
      <c r="K91" s="122">
        <v>6</v>
      </c>
      <c r="L91" s="122">
        <v>7.6</v>
      </c>
      <c r="M91" s="122">
        <v>1.0620000000000001</v>
      </c>
      <c r="N91" s="122">
        <v>1.075</v>
      </c>
      <c r="O91" s="122">
        <v>1.008</v>
      </c>
      <c r="P91" s="122">
        <v>1.016</v>
      </c>
      <c r="Q91" s="122">
        <v>15</v>
      </c>
      <c r="R91" s="122">
        <v>25</v>
      </c>
      <c r="S91" s="122">
        <f t="shared" si="12"/>
        <v>13.5</v>
      </c>
      <c r="T91" s="122">
        <f>Table2[[#This Row],[Average SRM]]*2</f>
        <v>27</v>
      </c>
      <c r="U91" s="122">
        <f t="shared" si="13"/>
        <v>6.8</v>
      </c>
      <c r="V91" s="122">
        <f t="shared" si="14"/>
        <v>1.0685</v>
      </c>
      <c r="W91" s="122">
        <f t="shared" si="15"/>
        <v>1.012</v>
      </c>
      <c r="X91" s="122">
        <f t="shared" si="16"/>
        <v>20</v>
      </c>
      <c r="Y91" s="122">
        <f t="shared" si="17"/>
        <v>0.28999999999999998</v>
      </c>
    </row>
    <row r="92" spans="1:25">
      <c r="A92" s="122" t="s">
        <v>547</v>
      </c>
      <c r="B92" s="122" t="s">
        <v>545</v>
      </c>
      <c r="C92" s="1"/>
      <c r="D92" s="1"/>
      <c r="E92" s="1"/>
      <c r="F92" s="1">
        <v>1</v>
      </c>
      <c r="G92" s="122">
        <v>4.5</v>
      </c>
      <c r="H92" s="122">
        <v>7</v>
      </c>
      <c r="I92" s="122">
        <f>2*Table2[[#This Row],[Minimum SRM]]</f>
        <v>9</v>
      </c>
      <c r="J92" s="122">
        <f>2*Table2[[#This Row],[Minimum EBC]]</f>
        <v>18</v>
      </c>
      <c r="K92" s="122">
        <v>7.5</v>
      </c>
      <c r="L92" s="122">
        <v>9.5</v>
      </c>
      <c r="M92" s="122">
        <v>1.075</v>
      </c>
      <c r="N92" s="122">
        <v>1.085</v>
      </c>
      <c r="O92" s="122">
        <v>1.008</v>
      </c>
      <c r="P92" s="122">
        <v>1.016</v>
      </c>
      <c r="Q92" s="122">
        <v>20</v>
      </c>
      <c r="R92" s="122">
        <v>40</v>
      </c>
      <c r="S92" s="122">
        <f t="shared" si="12"/>
        <v>5.75</v>
      </c>
      <c r="T92" s="122">
        <f>Table2[[#This Row],[Average SRM]]*2</f>
        <v>11.5</v>
      </c>
      <c r="U92" s="122">
        <f t="shared" si="13"/>
        <v>8.5</v>
      </c>
      <c r="V92" s="122">
        <f t="shared" si="14"/>
        <v>1.08</v>
      </c>
      <c r="W92" s="122">
        <f t="shared" si="15"/>
        <v>1.012</v>
      </c>
      <c r="X92" s="122">
        <f t="shared" si="16"/>
        <v>30</v>
      </c>
      <c r="Y92" s="122">
        <f t="shared" si="17"/>
        <v>0.38</v>
      </c>
    </row>
    <row r="93" spans="1:25">
      <c r="A93" s="122" t="s">
        <v>548</v>
      </c>
      <c r="B93" s="122" t="s">
        <v>545</v>
      </c>
      <c r="C93" s="1"/>
      <c r="D93" s="1">
        <v>1</v>
      </c>
      <c r="E93" s="1"/>
      <c r="F93" s="1"/>
      <c r="G93" s="122">
        <v>12</v>
      </c>
      <c r="H93" s="122">
        <v>22</v>
      </c>
      <c r="I93" s="122">
        <f>2*Table2[[#This Row],[Minimum SRM]]</f>
        <v>24</v>
      </c>
      <c r="J93" s="122">
        <f>2*Table2[[#This Row],[Minimum EBC]]</f>
        <v>48</v>
      </c>
      <c r="K93" s="122">
        <v>8</v>
      </c>
      <c r="L93" s="122">
        <v>12</v>
      </c>
      <c r="M93" s="122">
        <v>1.075</v>
      </c>
      <c r="N93" s="122">
        <v>1.1100000000000001</v>
      </c>
      <c r="O93" s="122">
        <v>1.01</v>
      </c>
      <c r="P93" s="122">
        <v>1.016</v>
      </c>
      <c r="Q93" s="122">
        <v>20</v>
      </c>
      <c r="R93" s="122">
        <v>35</v>
      </c>
      <c r="S93" s="122">
        <f t="shared" si="12"/>
        <v>17</v>
      </c>
      <c r="T93" s="122">
        <f>Table2[[#This Row],[Average SRM]]*2</f>
        <v>34</v>
      </c>
      <c r="U93" s="122">
        <f t="shared" si="13"/>
        <v>10</v>
      </c>
      <c r="V93" s="122">
        <f t="shared" si="14"/>
        <v>1.0925</v>
      </c>
      <c r="W93" s="122">
        <f t="shared" si="15"/>
        <v>1.0129999999999999</v>
      </c>
      <c r="X93" s="122">
        <f t="shared" si="16"/>
        <v>27.5</v>
      </c>
      <c r="Y93" s="122">
        <f t="shared" si="17"/>
        <v>0.3</v>
      </c>
    </row>
    <row r="94" spans="1:25">
      <c r="A94" s="122" t="s">
        <v>549</v>
      </c>
      <c r="B94" s="122" t="s">
        <v>550</v>
      </c>
      <c r="C94" s="1"/>
      <c r="D94" s="1"/>
      <c r="E94" s="1">
        <v>1</v>
      </c>
      <c r="F94" s="1"/>
      <c r="G94" s="122">
        <v>3</v>
      </c>
      <c r="H94" s="122">
        <v>4</v>
      </c>
      <c r="I94" s="122">
        <f>2*Table2[[#This Row],[Minimum SRM]]</f>
        <v>6</v>
      </c>
      <c r="J94" s="122">
        <f>2*Table2[[#This Row],[Minimum EBC]]</f>
        <v>12</v>
      </c>
      <c r="K94" s="122">
        <v>4.2</v>
      </c>
      <c r="L94" s="122">
        <v>4.8</v>
      </c>
      <c r="M94" s="122">
        <v>1.036</v>
      </c>
      <c r="N94" s="122">
        <v>1.056</v>
      </c>
      <c r="O94" s="122">
        <v>1.006</v>
      </c>
      <c r="P94" s="122">
        <v>1.016</v>
      </c>
      <c r="Q94" s="122">
        <v>5</v>
      </c>
      <c r="R94" s="122">
        <v>12</v>
      </c>
      <c r="S94" s="122">
        <f t="shared" si="12"/>
        <v>3.5</v>
      </c>
      <c r="T94" s="122">
        <f>Table2[[#This Row],[Average SRM]]*2</f>
        <v>7</v>
      </c>
      <c r="U94" s="122">
        <f t="shared" si="13"/>
        <v>4.5</v>
      </c>
      <c r="V94" s="122">
        <f t="shared" si="14"/>
        <v>1.046</v>
      </c>
      <c r="W94" s="122">
        <f t="shared" si="15"/>
        <v>1.0110000000000001</v>
      </c>
      <c r="X94" s="122">
        <f t="shared" si="16"/>
        <v>8.5</v>
      </c>
      <c r="Y94" s="122">
        <f t="shared" si="17"/>
        <v>0.18</v>
      </c>
    </row>
    <row r="95" spans="1:25">
      <c r="A95" s="122" t="s">
        <v>551</v>
      </c>
      <c r="B95" s="122" t="s">
        <v>550</v>
      </c>
      <c r="C95" s="1">
        <v>1</v>
      </c>
      <c r="D95" s="1"/>
      <c r="E95" s="1"/>
      <c r="F95" s="1"/>
      <c r="G95" s="122">
        <v>11</v>
      </c>
      <c r="H95" s="122">
        <v>20</v>
      </c>
      <c r="I95" s="122">
        <f>2*Table2[[#This Row],[Minimum SRM]]</f>
        <v>22</v>
      </c>
      <c r="J95" s="122">
        <f>2*Table2[[#This Row],[Minimum EBC]]</f>
        <v>44</v>
      </c>
      <c r="K95" s="122">
        <v>4</v>
      </c>
      <c r="L95" s="122">
        <v>5.5</v>
      </c>
      <c r="M95" s="122">
        <v>1.044</v>
      </c>
      <c r="N95" s="122">
        <v>1.0549999999999999</v>
      </c>
      <c r="O95" s="122">
        <v>1.01</v>
      </c>
      <c r="P95" s="122">
        <v>1.016</v>
      </c>
      <c r="Q95" s="122">
        <v>15</v>
      </c>
      <c r="R95" s="122">
        <v>30</v>
      </c>
      <c r="S95" s="122">
        <f t="shared" si="12"/>
        <v>15.5</v>
      </c>
      <c r="T95" s="122">
        <f>Table2[[#This Row],[Average SRM]]*2</f>
        <v>31</v>
      </c>
      <c r="U95" s="122">
        <f t="shared" si="13"/>
        <v>4.75</v>
      </c>
      <c r="V95" s="122">
        <f t="shared" si="14"/>
        <v>1.0495000000000001</v>
      </c>
      <c r="W95" s="122">
        <f t="shared" si="15"/>
        <v>1.0129999999999999</v>
      </c>
      <c r="X95" s="122">
        <f t="shared" si="16"/>
        <v>22.5</v>
      </c>
      <c r="Y95" s="122">
        <f t="shared" si="17"/>
        <v>0.45</v>
      </c>
    </row>
    <row r="96" spans="1:25">
      <c r="A96" s="122" t="s">
        <v>552</v>
      </c>
      <c r="B96" s="122" t="s">
        <v>550</v>
      </c>
      <c r="C96" s="1"/>
      <c r="D96" s="1"/>
      <c r="E96" s="1">
        <v>1</v>
      </c>
      <c r="F96" s="1"/>
      <c r="G96" s="122">
        <v>3</v>
      </c>
      <c r="H96" s="122">
        <v>6</v>
      </c>
      <c r="I96" s="122">
        <f>2*Table2[[#This Row],[Minimum SRM]]</f>
        <v>6</v>
      </c>
      <c r="J96" s="122">
        <f>2*Table2[[#This Row],[Minimum EBC]]</f>
        <v>12</v>
      </c>
      <c r="K96" s="122">
        <v>3.5</v>
      </c>
      <c r="L96" s="122">
        <v>4.7</v>
      </c>
      <c r="M96" s="122">
        <v>1.032</v>
      </c>
      <c r="N96" s="122">
        <v>1.04</v>
      </c>
      <c r="O96" s="122">
        <v>1.004</v>
      </c>
      <c r="P96" s="122">
        <v>1.016</v>
      </c>
      <c r="Q96" s="122">
        <v>5</v>
      </c>
      <c r="R96" s="122">
        <v>12</v>
      </c>
      <c r="S96" s="122">
        <f t="shared" si="12"/>
        <v>4.5</v>
      </c>
      <c r="T96" s="122">
        <f>Table2[[#This Row],[Average SRM]]*2</f>
        <v>9</v>
      </c>
      <c r="U96" s="122">
        <f t="shared" si="13"/>
        <v>4.0999999999999996</v>
      </c>
      <c r="V96" s="122">
        <f t="shared" si="14"/>
        <v>1.036</v>
      </c>
      <c r="W96" s="122">
        <f t="shared" si="15"/>
        <v>1.01</v>
      </c>
      <c r="X96" s="122">
        <f t="shared" si="16"/>
        <v>8.5</v>
      </c>
      <c r="Y96" s="122">
        <f t="shared" si="17"/>
        <v>0.24</v>
      </c>
    </row>
    <row r="97" spans="1:25">
      <c r="A97" s="122" t="s">
        <v>553</v>
      </c>
      <c r="B97" s="122" t="s">
        <v>550</v>
      </c>
      <c r="C97" s="1"/>
      <c r="D97" s="1">
        <v>1</v>
      </c>
      <c r="E97" s="1"/>
      <c r="F97" s="1"/>
      <c r="G97" s="122">
        <v>15</v>
      </c>
      <c r="H97" s="122">
        <v>20</v>
      </c>
      <c r="I97" s="122">
        <f>2*Table2[[#This Row],[Minimum SRM]]</f>
        <v>30</v>
      </c>
      <c r="J97" s="122">
        <f>2*Table2[[#This Row],[Minimum EBC]]</f>
        <v>60</v>
      </c>
      <c r="K97" s="122">
        <v>2.8</v>
      </c>
      <c r="L97" s="122">
        <v>3.6</v>
      </c>
      <c r="M97" s="122">
        <v>1.0329999999999999</v>
      </c>
      <c r="N97" s="122">
        <v>1.038</v>
      </c>
      <c r="O97" s="122">
        <v>1.012</v>
      </c>
      <c r="P97" s="122">
        <v>1.016</v>
      </c>
      <c r="Q97" s="122">
        <v>15</v>
      </c>
      <c r="R97" s="122">
        <v>20</v>
      </c>
      <c r="S97" s="122">
        <f t="shared" si="12"/>
        <v>17.5</v>
      </c>
      <c r="T97" s="122">
        <f>Table2[[#This Row],[Average SRM]]*2</f>
        <v>35</v>
      </c>
      <c r="U97" s="122">
        <f t="shared" si="13"/>
        <v>3.2</v>
      </c>
      <c r="V97" s="122">
        <f t="shared" si="14"/>
        <v>1.0354999999999999</v>
      </c>
      <c r="W97" s="122">
        <f t="shared" si="15"/>
        <v>1.014</v>
      </c>
      <c r="X97" s="122">
        <f t="shared" si="16"/>
        <v>17.5</v>
      </c>
      <c r="Y97" s="122">
        <f t="shared" si="17"/>
        <v>0.49</v>
      </c>
    </row>
    <row r="98" spans="1:25">
      <c r="A98" s="122" t="s">
        <v>554</v>
      </c>
      <c r="B98" s="122" t="s">
        <v>550</v>
      </c>
      <c r="C98" s="1"/>
      <c r="D98" s="1"/>
      <c r="E98" s="1"/>
      <c r="F98" s="1">
        <v>1</v>
      </c>
      <c r="G98" s="122">
        <v>3</v>
      </c>
      <c r="H98" s="122">
        <v>6</v>
      </c>
      <c r="I98" s="122">
        <f>2*Table2[[#This Row],[Minimum SRM]]</f>
        <v>6</v>
      </c>
      <c r="J98" s="122">
        <f>2*Table2[[#This Row],[Minimum EBC]]</f>
        <v>12</v>
      </c>
      <c r="K98" s="122">
        <v>2.5</v>
      </c>
      <c r="L98" s="122">
        <v>3.3</v>
      </c>
      <c r="M98" s="122">
        <v>1.028</v>
      </c>
      <c r="N98" s="122">
        <v>1.032</v>
      </c>
      <c r="O98" s="122">
        <v>1.006</v>
      </c>
      <c r="P98" s="122">
        <v>1.016</v>
      </c>
      <c r="Q98" s="122">
        <v>20</v>
      </c>
      <c r="R98" s="122">
        <v>35</v>
      </c>
      <c r="S98" s="122">
        <f t="shared" si="12"/>
        <v>4.5</v>
      </c>
      <c r="T98" s="122">
        <f>Table2[[#This Row],[Average SRM]]*2</f>
        <v>9</v>
      </c>
      <c r="U98" s="122">
        <f t="shared" si="13"/>
        <v>2.9</v>
      </c>
      <c r="V98" s="122">
        <f t="shared" si="14"/>
        <v>1.03</v>
      </c>
      <c r="W98" s="122">
        <f t="shared" si="15"/>
        <v>1.0110000000000001</v>
      </c>
      <c r="X98" s="122">
        <f t="shared" si="16"/>
        <v>27.5</v>
      </c>
      <c r="Y98" s="122">
        <f t="shared" si="17"/>
        <v>0.92</v>
      </c>
    </row>
    <row r="99" spans="1:25">
      <c r="A99" s="122" t="s">
        <v>555</v>
      </c>
      <c r="B99" s="122" t="s">
        <v>550</v>
      </c>
      <c r="C99" s="1"/>
      <c r="D99" s="1"/>
      <c r="E99" s="1"/>
      <c r="F99" s="1">
        <v>1</v>
      </c>
      <c r="G99" s="122">
        <v>3</v>
      </c>
      <c r="H99" s="122">
        <v>6</v>
      </c>
      <c r="I99" s="122">
        <f>2*Table2[[#This Row],[Minimum SRM]]</f>
        <v>6</v>
      </c>
      <c r="J99" s="122">
        <f>2*Table2[[#This Row],[Minimum EBC]]</f>
        <v>12</v>
      </c>
      <c r="K99" s="122">
        <v>4.5</v>
      </c>
      <c r="L99" s="122">
        <v>6</v>
      </c>
      <c r="M99" s="122">
        <v>1.044</v>
      </c>
      <c r="N99" s="122">
        <v>1.06</v>
      </c>
      <c r="O99" s="122">
        <v>1.01</v>
      </c>
      <c r="P99" s="122">
        <v>1.016</v>
      </c>
      <c r="Q99" s="122">
        <v>25</v>
      </c>
      <c r="R99" s="122">
        <v>40</v>
      </c>
      <c r="S99" s="122">
        <f t="shared" si="12"/>
        <v>4.5</v>
      </c>
      <c r="T99" s="122">
        <f>Table2[[#This Row],[Average SRM]]*2</f>
        <v>9</v>
      </c>
      <c r="U99" s="122">
        <f t="shared" si="13"/>
        <v>5.25</v>
      </c>
      <c r="V99" s="122">
        <f t="shared" si="14"/>
        <v>1.052</v>
      </c>
      <c r="W99" s="122">
        <f t="shared" si="15"/>
        <v>1.0129999999999999</v>
      </c>
      <c r="X99" s="122">
        <f t="shared" si="16"/>
        <v>32.5</v>
      </c>
      <c r="Y99" s="122">
        <f t="shared" ref="Y99:Y102" si="18">ROUND((X99/(V99*1000-1000)),2)</f>
        <v>0.63</v>
      </c>
    </row>
    <row r="100" spans="1:25">
      <c r="A100" s="122" t="s">
        <v>556</v>
      </c>
      <c r="B100" s="122" t="s">
        <v>550</v>
      </c>
      <c r="C100" s="1"/>
      <c r="D100" s="1">
        <v>1</v>
      </c>
      <c r="E100" s="1"/>
      <c r="F100" s="1"/>
      <c r="G100" s="122">
        <v>18</v>
      </c>
      <c r="H100" s="122">
        <v>30</v>
      </c>
      <c r="I100" s="122">
        <f>2*Table2[[#This Row],[Minimum SRM]]</f>
        <v>36</v>
      </c>
      <c r="J100" s="122">
        <f>2*Table2[[#This Row],[Minimum EBC]]</f>
        <v>72</v>
      </c>
      <c r="K100" s="122">
        <v>4.5</v>
      </c>
      <c r="L100" s="122">
        <v>6</v>
      </c>
      <c r="M100" s="122">
        <v>1.046</v>
      </c>
      <c r="N100" s="122">
        <v>1.06</v>
      </c>
      <c r="O100" s="122">
        <v>1.01</v>
      </c>
      <c r="P100" s="122">
        <v>1.016</v>
      </c>
      <c r="Q100" s="122">
        <v>20</v>
      </c>
      <c r="R100" s="122">
        <v>30</v>
      </c>
      <c r="S100" s="122">
        <f t="shared" si="12"/>
        <v>24</v>
      </c>
      <c r="T100" s="122">
        <f>Table2[[#This Row],[Average SRM]]*2</f>
        <v>48</v>
      </c>
      <c r="U100" s="122">
        <f t="shared" si="13"/>
        <v>5.25</v>
      </c>
      <c r="V100" s="122">
        <f t="shared" si="14"/>
        <v>1.0529999999999999</v>
      </c>
      <c r="W100" s="122">
        <f t="shared" si="15"/>
        <v>1.0129999999999999</v>
      </c>
      <c r="X100" s="122">
        <f t="shared" si="16"/>
        <v>25</v>
      </c>
      <c r="Y100" s="122">
        <f t="shared" si="18"/>
        <v>0.47</v>
      </c>
    </row>
    <row r="101" spans="1:25">
      <c r="A101" s="122" t="s">
        <v>557</v>
      </c>
      <c r="B101" s="122" t="s">
        <v>550</v>
      </c>
      <c r="C101" s="1"/>
      <c r="D101" s="1"/>
      <c r="E101" s="1">
        <v>1</v>
      </c>
      <c r="F101" s="1"/>
      <c r="G101" s="122">
        <v>14</v>
      </c>
      <c r="H101" s="122">
        <v>19</v>
      </c>
      <c r="I101" s="122">
        <f>2*Table2[[#This Row],[Minimum SRM]]</f>
        <v>28</v>
      </c>
      <c r="J101" s="122">
        <f>2*Table2[[#This Row],[Minimum EBC]]</f>
        <v>56</v>
      </c>
      <c r="K101" s="122">
        <v>4.5</v>
      </c>
      <c r="L101" s="122">
        <v>6</v>
      </c>
      <c r="M101" s="122">
        <v>1.046</v>
      </c>
      <c r="N101" s="122">
        <v>1.056</v>
      </c>
      <c r="O101" s="122">
        <v>1.01</v>
      </c>
      <c r="P101" s="122">
        <v>1.016</v>
      </c>
      <c r="Q101" s="122">
        <v>10</v>
      </c>
      <c r="R101" s="122">
        <v>20</v>
      </c>
      <c r="S101" s="122">
        <f t="shared" si="12"/>
        <v>16.5</v>
      </c>
      <c r="T101" s="122">
        <f>Table2[[#This Row],[Average SRM]]*2</f>
        <v>33</v>
      </c>
      <c r="U101" s="122">
        <f t="shared" si="13"/>
        <v>5.25</v>
      </c>
      <c r="V101" s="122">
        <f t="shared" si="14"/>
        <v>1.0510000000000002</v>
      </c>
      <c r="W101" s="122">
        <f t="shared" si="15"/>
        <v>1.0129999999999999</v>
      </c>
      <c r="X101" s="122">
        <f t="shared" si="16"/>
        <v>15</v>
      </c>
      <c r="Y101" s="122">
        <f t="shared" si="18"/>
        <v>0.28999999999999998</v>
      </c>
    </row>
    <row r="102" spans="1:25">
      <c r="A102" s="122" t="s">
        <v>558</v>
      </c>
      <c r="B102" s="122" t="s">
        <v>550</v>
      </c>
      <c r="C102" s="1"/>
      <c r="D102" s="1"/>
      <c r="E102" s="1">
        <v>1</v>
      </c>
      <c r="F102" s="1"/>
      <c r="G102" s="122">
        <v>4</v>
      </c>
      <c r="H102" s="122">
        <v>22</v>
      </c>
      <c r="I102" s="122">
        <f>2*Table2[[#This Row],[Minimum SRM]]</f>
        <v>8</v>
      </c>
      <c r="J102" s="122">
        <f>2*Table2[[#This Row],[Minimum EBC]]</f>
        <v>16</v>
      </c>
      <c r="K102" s="122">
        <v>7</v>
      </c>
      <c r="L102" s="122">
        <v>11</v>
      </c>
      <c r="M102" s="122">
        <v>1.0760000000000001</v>
      </c>
      <c r="N102" s="122">
        <v>1.1200000000000001</v>
      </c>
      <c r="O102" s="122">
        <v>1.016</v>
      </c>
      <c r="P102" s="122">
        <v>1.016</v>
      </c>
      <c r="Q102" s="122">
        <v>7</v>
      </c>
      <c r="R102" s="122">
        <v>15</v>
      </c>
      <c r="S102" s="122">
        <f t="shared" si="12"/>
        <v>13</v>
      </c>
      <c r="T102" s="122">
        <f>Table2[[#This Row],[Average SRM]]*2</f>
        <v>26</v>
      </c>
      <c r="U102" s="122">
        <f t="shared" si="13"/>
        <v>9</v>
      </c>
      <c r="V102" s="122">
        <f t="shared" si="14"/>
        <v>1.0980000000000001</v>
      </c>
      <c r="W102" s="122">
        <f t="shared" si="15"/>
        <v>1.016</v>
      </c>
      <c r="X102" s="122">
        <f t="shared" si="16"/>
        <v>11</v>
      </c>
      <c r="Y102" s="122">
        <f t="shared" si="18"/>
        <v>0.11</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12</vt:i4>
      </vt:variant>
      <vt:variant>
        <vt:lpstr>Plages nommées</vt:lpstr>
      </vt:variant>
      <vt:variant>
        <vt:i4>1</vt:i4>
      </vt:variant>
    </vt:vector>
  </HeadingPairs>
  <TitlesOfParts>
    <vt:vector size="13" baseType="lpstr">
      <vt:lpstr>Conversion</vt:lpstr>
      <vt:lpstr>Recette</vt:lpstr>
      <vt:lpstr>Batch</vt:lpstr>
      <vt:lpstr>FicheFermentation</vt:lpstr>
      <vt:lpstr>Etiquettes</vt:lpstr>
      <vt:lpstr>Notes Dégustation</vt:lpstr>
      <vt:lpstr>Waterprofile</vt:lpstr>
      <vt:lpstr>BDD-Houlbons</vt:lpstr>
      <vt:lpstr>Styles</vt:lpstr>
      <vt:lpstr>BDD</vt:lpstr>
      <vt:lpstr>BDD Malt Beersmith</vt:lpstr>
      <vt:lpstr>BeerStyles</vt:lpstr>
      <vt:lpstr>FicheFermentation!Zone_d_impression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Arnaud Gantenbein</dc:creator>
  <cp:lastModifiedBy>Arnaud Gantenbein</cp:lastModifiedBy>
  <cp:lastPrinted>2020-06-07T12:33:58Z</cp:lastPrinted>
  <dcterms:created xsi:type="dcterms:W3CDTF">2019-12-22T15:29:02Z</dcterms:created>
  <dcterms:modified xsi:type="dcterms:W3CDTF">2020-06-09T15:33:28Z</dcterms:modified>
</cp:coreProperties>
</file>